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aquin_herazo\Desktop\"/>
    </mc:Choice>
  </mc:AlternateContent>
  <bookViews>
    <workbookView xWindow="0" yWindow="0" windowWidth="24000" windowHeight="8835" activeTab="7"/>
  </bookViews>
  <sheets>
    <sheet name="EJEGAS 2016" sheetId="1" r:id="rId1"/>
    <sheet name="EJEING 2016" sheetId="2" r:id="rId2"/>
    <sheet name="EJEGAS 2017" sheetId="3" r:id="rId3"/>
    <sheet name="EJEING 2017" sheetId="4" r:id="rId4"/>
    <sheet name="EJEGAS 2018" sheetId="5" r:id="rId5"/>
    <sheet name="EJEING 2018" sheetId="6" r:id="rId6"/>
    <sheet name="EJEGAS 2019" sheetId="7" r:id="rId7"/>
    <sheet name="EJEING 2019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1" i="8" l="1"/>
  <c r="M78" i="8"/>
  <c r="N78" i="8" s="1"/>
  <c r="E78" i="8"/>
  <c r="M77" i="8"/>
  <c r="L77" i="8"/>
  <c r="N77" i="8" s="1"/>
  <c r="E77" i="8"/>
  <c r="M76" i="8"/>
  <c r="K76" i="8"/>
  <c r="N76" i="8" s="1"/>
  <c r="J76" i="8"/>
  <c r="I76" i="8"/>
  <c r="G76" i="8"/>
  <c r="F76" i="8"/>
  <c r="E76" i="8"/>
  <c r="M75" i="8"/>
  <c r="M74" i="8" s="1"/>
  <c r="M81" i="8" s="1"/>
  <c r="L75" i="8"/>
  <c r="N75" i="8" s="1"/>
  <c r="K75" i="8"/>
  <c r="J75" i="8"/>
  <c r="I75" i="8"/>
  <c r="I74" i="8" s="1"/>
  <c r="I81" i="8" s="1"/>
  <c r="I82" i="8" s="1"/>
  <c r="E75" i="8"/>
  <c r="K74" i="8"/>
  <c r="K81" i="8" s="1"/>
  <c r="J74" i="8"/>
  <c r="H74" i="8"/>
  <c r="H81" i="8" s="1"/>
  <c r="G74" i="8"/>
  <c r="G81" i="8" s="1"/>
  <c r="G82" i="8" s="1"/>
  <c r="F74" i="8"/>
  <c r="F81" i="8" s="1"/>
  <c r="E74" i="8"/>
  <c r="E81" i="8" s="1"/>
  <c r="C74" i="8"/>
  <c r="C81" i="8" s="1"/>
  <c r="I70" i="8"/>
  <c r="G70" i="8"/>
  <c r="F70" i="8"/>
  <c r="K69" i="8"/>
  <c r="J69" i="8"/>
  <c r="N69" i="8" s="1"/>
  <c r="E69" i="8"/>
  <c r="N68" i="8"/>
  <c r="E68" i="8"/>
  <c r="N67" i="8"/>
  <c r="E67" i="8"/>
  <c r="N66" i="8"/>
  <c r="E66" i="8"/>
  <c r="N65" i="8"/>
  <c r="E65" i="8"/>
  <c r="N64" i="8"/>
  <c r="E64" i="8"/>
  <c r="N63" i="8"/>
  <c r="E63" i="8"/>
  <c r="N62" i="8"/>
  <c r="E62" i="8"/>
  <c r="N61" i="8"/>
  <c r="E61" i="8"/>
  <c r="N60" i="8"/>
  <c r="E60" i="8"/>
  <c r="N59" i="8"/>
  <c r="E59" i="8"/>
  <c r="N58" i="8"/>
  <c r="E58" i="8"/>
  <c r="N57" i="8"/>
  <c r="E57" i="8"/>
  <c r="N56" i="8"/>
  <c r="E56" i="8"/>
  <c r="N55" i="8"/>
  <c r="E55" i="8"/>
  <c r="N54" i="8"/>
  <c r="E54" i="8"/>
  <c r="N53" i="8"/>
  <c r="E53" i="8"/>
  <c r="N52" i="8"/>
  <c r="E52" i="8"/>
  <c r="N51" i="8"/>
  <c r="E51" i="8"/>
  <c r="N50" i="8"/>
  <c r="E50" i="8"/>
  <c r="N49" i="8"/>
  <c r="E49" i="8"/>
  <c r="N48" i="8"/>
  <c r="E48" i="8"/>
  <c r="N47" i="8"/>
  <c r="E47" i="8"/>
  <c r="N46" i="8"/>
  <c r="E46" i="8"/>
  <c r="M45" i="8"/>
  <c r="K45" i="8"/>
  <c r="J45" i="8"/>
  <c r="J5" i="8" s="1"/>
  <c r="H45" i="8"/>
  <c r="G45" i="8"/>
  <c r="F45" i="8"/>
  <c r="E45" i="8"/>
  <c r="N44" i="8"/>
  <c r="E44" i="8"/>
  <c r="H43" i="8"/>
  <c r="N43" i="8" s="1"/>
  <c r="E43" i="8"/>
  <c r="M42" i="8"/>
  <c r="N42" i="8" s="1"/>
  <c r="E42" i="8"/>
  <c r="N41" i="8"/>
  <c r="E41" i="8"/>
  <c r="M40" i="8"/>
  <c r="N40" i="8" s="1"/>
  <c r="E40" i="8"/>
  <c r="N39" i="8"/>
  <c r="E39" i="8"/>
  <c r="G38" i="8"/>
  <c r="N38" i="8" s="1"/>
  <c r="E38" i="8"/>
  <c r="N37" i="8"/>
  <c r="E37" i="8"/>
  <c r="N36" i="8"/>
  <c r="M36" i="8"/>
  <c r="E36" i="8"/>
  <c r="N35" i="8"/>
  <c r="E35" i="8"/>
  <c r="N34" i="8"/>
  <c r="E34" i="8"/>
  <c r="N33" i="8"/>
  <c r="E33" i="8"/>
  <c r="N32" i="8"/>
  <c r="E32" i="8"/>
  <c r="N31" i="8"/>
  <c r="E31" i="8"/>
  <c r="N30" i="8"/>
  <c r="E30" i="8"/>
  <c r="N29" i="8"/>
  <c r="E29" i="8"/>
  <c r="N28" i="8"/>
  <c r="E28" i="8"/>
  <c r="N27" i="8"/>
  <c r="E27" i="8"/>
  <c r="N26" i="8"/>
  <c r="E26" i="8"/>
  <c r="N25" i="8"/>
  <c r="E25" i="8"/>
  <c r="N24" i="8"/>
  <c r="E24" i="8"/>
  <c r="N23" i="8"/>
  <c r="E23" i="8"/>
  <c r="N22" i="8"/>
  <c r="E22" i="8"/>
  <c r="N21" i="8"/>
  <c r="L21" i="8"/>
  <c r="K21" i="8"/>
  <c r="I21" i="8"/>
  <c r="E21" i="8"/>
  <c r="N20" i="8"/>
  <c r="E20" i="8"/>
  <c r="M19" i="8"/>
  <c r="L19" i="8"/>
  <c r="K19" i="8"/>
  <c r="J19" i="8"/>
  <c r="I19" i="8"/>
  <c r="H19" i="8"/>
  <c r="G19" i="8"/>
  <c r="F19" i="8"/>
  <c r="N19" i="8" s="1"/>
  <c r="E19" i="8"/>
  <c r="N18" i="8"/>
  <c r="E18" i="8"/>
  <c r="N17" i="8"/>
  <c r="E17" i="8"/>
  <c r="N16" i="8"/>
  <c r="E16" i="8"/>
  <c r="N15" i="8"/>
  <c r="E15" i="8"/>
  <c r="N14" i="8"/>
  <c r="E14" i="8"/>
  <c r="N13" i="8"/>
  <c r="E13" i="8"/>
  <c r="N12" i="8"/>
  <c r="E12" i="8"/>
  <c r="M11" i="8"/>
  <c r="N11" i="8" s="1"/>
  <c r="I11" i="8"/>
  <c r="F11" i="8"/>
  <c r="E11" i="8"/>
  <c r="N10" i="8"/>
  <c r="E10" i="8"/>
  <c r="N9" i="8"/>
  <c r="E9" i="8"/>
  <c r="N8" i="8"/>
  <c r="M8" i="8"/>
  <c r="K8" i="8"/>
  <c r="J8" i="8"/>
  <c r="I8" i="8"/>
  <c r="H8" i="8"/>
  <c r="G8" i="8"/>
  <c r="F8" i="8"/>
  <c r="E8" i="8"/>
  <c r="N7" i="8"/>
  <c r="I7" i="8"/>
  <c r="E7" i="8"/>
  <c r="K6" i="8"/>
  <c r="N6" i="8" s="1"/>
  <c r="E6" i="8"/>
  <c r="M5" i="8"/>
  <c r="L5" i="8"/>
  <c r="I5" i="8"/>
  <c r="G5" i="8"/>
  <c r="F5" i="8"/>
  <c r="E5" i="8"/>
  <c r="C5" i="8"/>
  <c r="N4" i="8"/>
  <c r="E4" i="8"/>
  <c r="N3" i="8"/>
  <c r="M3" i="8"/>
  <c r="M70" i="8" s="1"/>
  <c r="L3" i="8"/>
  <c r="L70" i="8" s="1"/>
  <c r="K3" i="8"/>
  <c r="J3" i="8"/>
  <c r="I3" i="8"/>
  <c r="H3" i="8"/>
  <c r="G3" i="8"/>
  <c r="F3" i="8"/>
  <c r="E3" i="8"/>
  <c r="E70" i="8" s="1"/>
  <c r="C3" i="8"/>
  <c r="C70" i="8" s="1"/>
  <c r="J73" i="7"/>
  <c r="I73" i="7"/>
  <c r="H73" i="7"/>
  <c r="F73" i="7"/>
  <c r="E73" i="7"/>
  <c r="D73" i="7"/>
  <c r="C73" i="7"/>
  <c r="P72" i="7"/>
  <c r="G72" i="7"/>
  <c r="P71" i="7"/>
  <c r="G71" i="7"/>
  <c r="P70" i="7"/>
  <c r="G70" i="7"/>
  <c r="P69" i="7"/>
  <c r="G69" i="7"/>
  <c r="P68" i="7"/>
  <c r="P73" i="7" s="1"/>
  <c r="G68" i="7"/>
  <c r="G73" i="7" s="1"/>
  <c r="P67" i="7"/>
  <c r="C65" i="7"/>
  <c r="G64" i="7"/>
  <c r="P63" i="7"/>
  <c r="G63" i="7"/>
  <c r="L59" i="7"/>
  <c r="P59" i="7" s="1"/>
  <c r="P54" i="7" s="1"/>
  <c r="G59" i="7"/>
  <c r="P58" i="7"/>
  <c r="G58" i="7"/>
  <c r="P57" i="7"/>
  <c r="G57" i="7"/>
  <c r="P56" i="7"/>
  <c r="G56" i="7"/>
  <c r="P55" i="7"/>
  <c r="G55" i="7"/>
  <c r="G54" i="7" s="1"/>
  <c r="O54" i="7"/>
  <c r="N54" i="7"/>
  <c r="M54" i="7"/>
  <c r="K54" i="7"/>
  <c r="J54" i="7"/>
  <c r="I54" i="7"/>
  <c r="H54" i="7"/>
  <c r="F54" i="7"/>
  <c r="E54" i="7"/>
  <c r="D54" i="7"/>
  <c r="C54" i="7"/>
  <c r="P53" i="7"/>
  <c r="G53" i="7"/>
  <c r="P52" i="7"/>
  <c r="G52" i="7"/>
  <c r="P51" i="7"/>
  <c r="P49" i="7" s="1"/>
  <c r="G51" i="7"/>
  <c r="P50" i="7"/>
  <c r="G50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P47" i="7"/>
  <c r="G47" i="7"/>
  <c r="P46" i="7"/>
  <c r="G46" i="7"/>
  <c r="P45" i="7"/>
  <c r="P37" i="7" s="1"/>
  <c r="G45" i="7"/>
  <c r="P44" i="7"/>
  <c r="G44" i="7"/>
  <c r="P43" i="7"/>
  <c r="G43" i="7"/>
  <c r="P42" i="7"/>
  <c r="G42" i="7"/>
  <c r="P41" i="7"/>
  <c r="G41" i="7"/>
  <c r="P40" i="7"/>
  <c r="G40" i="7"/>
  <c r="P39" i="7"/>
  <c r="G39" i="7"/>
  <c r="P38" i="7"/>
  <c r="G38" i="7"/>
  <c r="G37" i="7" s="1"/>
  <c r="O37" i="7"/>
  <c r="N37" i="7"/>
  <c r="M37" i="7"/>
  <c r="L37" i="7"/>
  <c r="K37" i="7"/>
  <c r="J37" i="7"/>
  <c r="I37" i="7"/>
  <c r="H37" i="7"/>
  <c r="F37" i="7"/>
  <c r="E37" i="7"/>
  <c r="D37" i="7"/>
  <c r="C37" i="7"/>
  <c r="P36" i="7"/>
  <c r="G36" i="7"/>
  <c r="P35" i="7"/>
  <c r="G35" i="7"/>
  <c r="P34" i="7"/>
  <c r="G34" i="7"/>
  <c r="P33" i="7"/>
  <c r="G33" i="7"/>
  <c r="P32" i="7"/>
  <c r="G32" i="7"/>
  <c r="P31" i="7"/>
  <c r="P30" i="7" s="1"/>
  <c r="G31" i="7"/>
  <c r="G30" i="7" s="1"/>
  <c r="O30" i="7"/>
  <c r="N30" i="7"/>
  <c r="M30" i="7"/>
  <c r="L30" i="7"/>
  <c r="K30" i="7"/>
  <c r="J30" i="7"/>
  <c r="I30" i="7"/>
  <c r="H30" i="7"/>
  <c r="F30" i="7"/>
  <c r="E30" i="7"/>
  <c r="D30" i="7"/>
  <c r="C30" i="7"/>
  <c r="P28" i="7"/>
  <c r="G28" i="7"/>
  <c r="P27" i="7"/>
  <c r="I27" i="7"/>
  <c r="G27" i="7"/>
  <c r="P26" i="7"/>
  <c r="G26" i="7"/>
  <c r="P25" i="7"/>
  <c r="G25" i="7"/>
  <c r="P24" i="7"/>
  <c r="P22" i="7" s="1"/>
  <c r="G24" i="7"/>
  <c r="G22" i="7" s="1"/>
  <c r="P23" i="7"/>
  <c r="G23" i="7"/>
  <c r="O22" i="7"/>
  <c r="N22" i="7"/>
  <c r="M22" i="7"/>
  <c r="L22" i="7"/>
  <c r="K22" i="7"/>
  <c r="J22" i="7"/>
  <c r="I22" i="7"/>
  <c r="H22" i="7"/>
  <c r="F22" i="7"/>
  <c r="E22" i="7"/>
  <c r="D22" i="7"/>
  <c r="C22" i="7"/>
  <c r="P21" i="7"/>
  <c r="G21" i="7"/>
  <c r="P20" i="7"/>
  <c r="G20" i="7"/>
  <c r="P19" i="7"/>
  <c r="G19" i="7"/>
  <c r="P18" i="7"/>
  <c r="P17" i="7" s="1"/>
  <c r="G18" i="7"/>
  <c r="G17" i="7" s="1"/>
  <c r="O17" i="7"/>
  <c r="N17" i="7"/>
  <c r="M17" i="7"/>
  <c r="L17" i="7"/>
  <c r="K17" i="7"/>
  <c r="J17" i="7"/>
  <c r="I17" i="7"/>
  <c r="H17" i="7"/>
  <c r="F17" i="7"/>
  <c r="E17" i="7"/>
  <c r="D17" i="7"/>
  <c r="C17" i="7"/>
  <c r="P16" i="7"/>
  <c r="G16" i="7"/>
  <c r="P15" i="7"/>
  <c r="G15" i="7"/>
  <c r="P14" i="7"/>
  <c r="G14" i="7"/>
  <c r="P13" i="7"/>
  <c r="G13" i="7"/>
  <c r="P12" i="7"/>
  <c r="G12" i="7"/>
  <c r="P11" i="7"/>
  <c r="G11" i="7"/>
  <c r="P10" i="7"/>
  <c r="G10" i="7"/>
  <c r="P9" i="7"/>
  <c r="P5" i="7" s="1"/>
  <c r="G9" i="7"/>
  <c r="G5" i="7" s="1"/>
  <c r="P8" i="7"/>
  <c r="G8" i="7"/>
  <c r="P7" i="7"/>
  <c r="G7" i="7"/>
  <c r="P6" i="7"/>
  <c r="G6" i="7"/>
  <c r="O5" i="7"/>
  <c r="O60" i="7" s="1"/>
  <c r="O74" i="7" s="1"/>
  <c r="N5" i="7"/>
  <c r="N60" i="7" s="1"/>
  <c r="N74" i="7" s="1"/>
  <c r="M5" i="7"/>
  <c r="M60" i="7" s="1"/>
  <c r="M74" i="7" s="1"/>
  <c r="L5" i="7"/>
  <c r="K5" i="7"/>
  <c r="K60" i="7" s="1"/>
  <c r="K74" i="7" s="1"/>
  <c r="J5" i="7"/>
  <c r="J60" i="7" s="1"/>
  <c r="J74" i="7" s="1"/>
  <c r="I5" i="7"/>
  <c r="I60" i="7" s="1"/>
  <c r="I74" i="7" s="1"/>
  <c r="H5" i="7"/>
  <c r="H60" i="7" s="1"/>
  <c r="H74" i="7" s="1"/>
  <c r="F5" i="7"/>
  <c r="F60" i="7" s="1"/>
  <c r="F74" i="7" s="1"/>
  <c r="E5" i="7"/>
  <c r="E60" i="7" s="1"/>
  <c r="E74" i="7" s="1"/>
  <c r="D5" i="7"/>
  <c r="D60" i="7" s="1"/>
  <c r="D74" i="7" s="1"/>
  <c r="C5" i="7"/>
  <c r="C60" i="7" s="1"/>
  <c r="C74" i="7" s="1"/>
  <c r="N5" i="8" l="1"/>
  <c r="N70" i="8" s="1"/>
  <c r="J70" i="8"/>
  <c r="J82" i="8" s="1"/>
  <c r="F82" i="8"/>
  <c r="C82" i="8"/>
  <c r="E82" i="8"/>
  <c r="M82" i="8"/>
  <c r="L74" i="8"/>
  <c r="L81" i="8" s="1"/>
  <c r="L82" i="8" s="1"/>
  <c r="H5" i="8"/>
  <c r="H70" i="8" s="1"/>
  <c r="H82" i="8" s="1"/>
  <c r="N45" i="8"/>
  <c r="K5" i="8"/>
  <c r="K70" i="8" s="1"/>
  <c r="K82" i="8" s="1"/>
  <c r="G60" i="7"/>
  <c r="G74" i="7" s="1"/>
  <c r="P60" i="7"/>
  <c r="P74" i="7" s="1"/>
  <c r="L60" i="7"/>
  <c r="L74" i="7" s="1"/>
  <c r="L54" i="7"/>
  <c r="N74" i="8" l="1"/>
  <c r="N81" i="8" s="1"/>
  <c r="N82" i="8" s="1"/>
  <c r="D82" i="6" l="1"/>
  <c r="C82" i="6"/>
  <c r="L81" i="6"/>
  <c r="K81" i="6"/>
  <c r="H81" i="6"/>
  <c r="D81" i="6"/>
  <c r="C81" i="6"/>
  <c r="R80" i="6"/>
  <c r="R79" i="6"/>
  <c r="Q78" i="6"/>
  <c r="P78" i="6"/>
  <c r="O78" i="6"/>
  <c r="M78" i="6"/>
  <c r="I78" i="6"/>
  <c r="R78" i="6" s="1"/>
  <c r="E78" i="6"/>
  <c r="O77" i="6"/>
  <c r="R77" i="6" s="1"/>
  <c r="E77" i="6"/>
  <c r="Q76" i="6"/>
  <c r="Q74" i="6" s="1"/>
  <c r="Q81" i="6" s="1"/>
  <c r="P76" i="6"/>
  <c r="R76" i="6" s="1"/>
  <c r="R74" i="6" s="1"/>
  <c r="E76" i="6"/>
  <c r="R75" i="6"/>
  <c r="E75" i="6"/>
  <c r="N74" i="6"/>
  <c r="N81" i="6" s="1"/>
  <c r="M74" i="6"/>
  <c r="M81" i="6" s="1"/>
  <c r="L74" i="6"/>
  <c r="K74" i="6"/>
  <c r="J74" i="6"/>
  <c r="J81" i="6" s="1"/>
  <c r="H74" i="6"/>
  <c r="G74" i="6"/>
  <c r="G81" i="6" s="1"/>
  <c r="F74" i="6"/>
  <c r="F81" i="6" s="1"/>
  <c r="E74" i="6"/>
  <c r="C74" i="6"/>
  <c r="R73" i="6"/>
  <c r="E73" i="6"/>
  <c r="E81" i="6" s="1"/>
  <c r="R72" i="6"/>
  <c r="E72" i="6"/>
  <c r="H70" i="6"/>
  <c r="H82" i="6" s="1"/>
  <c r="E70" i="6"/>
  <c r="D70" i="6"/>
  <c r="C70" i="6"/>
  <c r="Q69" i="6"/>
  <c r="O69" i="6"/>
  <c r="R69" i="6" s="1"/>
  <c r="E69" i="6"/>
  <c r="R68" i="6"/>
  <c r="E68" i="6"/>
  <c r="Q67" i="6"/>
  <c r="R67" i="6" s="1"/>
  <c r="E67" i="6"/>
  <c r="R66" i="6"/>
  <c r="E66" i="6"/>
  <c r="R65" i="6"/>
  <c r="E65" i="6"/>
  <c r="R64" i="6"/>
  <c r="E64" i="6"/>
  <c r="R63" i="6"/>
  <c r="E63" i="6"/>
  <c r="R62" i="6"/>
  <c r="E62" i="6"/>
  <c r="R61" i="6"/>
  <c r="E61" i="6"/>
  <c r="R60" i="6"/>
  <c r="E60" i="6"/>
  <c r="R59" i="6"/>
  <c r="E59" i="6"/>
  <c r="R58" i="6"/>
  <c r="E58" i="6"/>
  <c r="R57" i="6"/>
  <c r="E57" i="6"/>
  <c r="R56" i="6"/>
  <c r="E56" i="6"/>
  <c r="R55" i="6"/>
  <c r="E55" i="6"/>
  <c r="R54" i="6"/>
  <c r="E54" i="6"/>
  <c r="R53" i="6"/>
  <c r="P53" i="6"/>
  <c r="E53" i="6"/>
  <c r="R52" i="6"/>
  <c r="E52" i="6"/>
  <c r="R51" i="6"/>
  <c r="E51" i="6"/>
  <c r="R50" i="6"/>
  <c r="E50" i="6"/>
  <c r="R49" i="6"/>
  <c r="E49" i="6"/>
  <c r="R48" i="6"/>
  <c r="E48" i="6"/>
  <c r="R47" i="6"/>
  <c r="E47" i="6"/>
  <c r="R46" i="6"/>
  <c r="E46" i="6"/>
  <c r="Q45" i="6"/>
  <c r="P45" i="6"/>
  <c r="O45" i="6"/>
  <c r="M45" i="6"/>
  <c r="R45" i="6" s="1"/>
  <c r="E45" i="6"/>
  <c r="R44" i="6"/>
  <c r="E44" i="6"/>
  <c r="P43" i="6"/>
  <c r="R43" i="6" s="1"/>
  <c r="E43" i="6"/>
  <c r="O42" i="6"/>
  <c r="R42" i="6" s="1"/>
  <c r="E42" i="6"/>
  <c r="R41" i="6"/>
  <c r="Q41" i="6"/>
  <c r="P41" i="6"/>
  <c r="O41" i="6"/>
  <c r="E41" i="6"/>
  <c r="P40" i="6"/>
  <c r="I40" i="6"/>
  <c r="R40" i="6" s="1"/>
  <c r="E40" i="6"/>
  <c r="R39" i="6"/>
  <c r="E39" i="6"/>
  <c r="R38" i="6"/>
  <c r="E38" i="6"/>
  <c r="R37" i="6"/>
  <c r="E37" i="6"/>
  <c r="R36" i="6"/>
  <c r="E36" i="6"/>
  <c r="R35" i="6"/>
  <c r="E35" i="6"/>
  <c r="R34" i="6"/>
  <c r="E34" i="6"/>
  <c r="R33" i="6"/>
  <c r="E33" i="6"/>
  <c r="R32" i="6"/>
  <c r="E32" i="6"/>
  <c r="R31" i="6"/>
  <c r="E31" i="6"/>
  <c r="R30" i="6"/>
  <c r="E30" i="6"/>
  <c r="R29" i="6"/>
  <c r="E29" i="6"/>
  <c r="R28" i="6"/>
  <c r="E28" i="6"/>
  <c r="R27" i="6"/>
  <c r="E27" i="6"/>
  <c r="R26" i="6"/>
  <c r="E26" i="6"/>
  <c r="R25" i="6"/>
  <c r="E25" i="6"/>
  <c r="R24" i="6"/>
  <c r="E24" i="6"/>
  <c r="R23" i="6"/>
  <c r="E23" i="6"/>
  <c r="R22" i="6"/>
  <c r="E22" i="6"/>
  <c r="P21" i="6"/>
  <c r="R21" i="6" s="1"/>
  <c r="E21" i="6"/>
  <c r="R20" i="6"/>
  <c r="E20" i="6"/>
  <c r="Q19" i="6"/>
  <c r="P19" i="6"/>
  <c r="O19" i="6"/>
  <c r="M19" i="6"/>
  <c r="R19" i="6" s="1"/>
  <c r="E19" i="6"/>
  <c r="R18" i="6"/>
  <c r="E18" i="6"/>
  <c r="R17" i="6"/>
  <c r="E17" i="6"/>
  <c r="R16" i="6"/>
  <c r="E16" i="6"/>
  <c r="R15" i="6"/>
  <c r="E15" i="6"/>
  <c r="R14" i="6"/>
  <c r="E14" i="6"/>
  <c r="R13" i="6"/>
  <c r="E13" i="6"/>
  <c r="O12" i="6"/>
  <c r="R12" i="6" s="1"/>
  <c r="E12" i="6"/>
  <c r="R11" i="6"/>
  <c r="E11" i="6"/>
  <c r="R10" i="6"/>
  <c r="E10" i="6"/>
  <c r="R9" i="6"/>
  <c r="M9" i="6"/>
  <c r="E9" i="6"/>
  <c r="Q8" i="6"/>
  <c r="P8" i="6"/>
  <c r="P5" i="6" s="1"/>
  <c r="P70" i="6" s="1"/>
  <c r="O8" i="6"/>
  <c r="O5" i="6" s="1"/>
  <c r="E8" i="6"/>
  <c r="R7" i="6"/>
  <c r="E7" i="6"/>
  <c r="R6" i="6"/>
  <c r="E6" i="6"/>
  <c r="Q5" i="6"/>
  <c r="N5" i="6"/>
  <c r="L5" i="6"/>
  <c r="L70" i="6" s="1"/>
  <c r="L82" i="6" s="1"/>
  <c r="K5" i="6"/>
  <c r="K70" i="6" s="1"/>
  <c r="K82" i="6" s="1"/>
  <c r="J5" i="6"/>
  <c r="J70" i="6" s="1"/>
  <c r="I5" i="6"/>
  <c r="I70" i="6" s="1"/>
  <c r="H5" i="6"/>
  <c r="G5" i="6"/>
  <c r="G70" i="6" s="1"/>
  <c r="G82" i="6" s="1"/>
  <c r="F5" i="6"/>
  <c r="F70" i="6" s="1"/>
  <c r="F82" i="6" s="1"/>
  <c r="E5" i="6"/>
  <c r="R4" i="6"/>
  <c r="E4" i="6"/>
  <c r="R3" i="6"/>
  <c r="Q3" i="6"/>
  <c r="Q70" i="6" s="1"/>
  <c r="P3" i="6"/>
  <c r="O3" i="6"/>
  <c r="N3" i="6"/>
  <c r="N70" i="6" s="1"/>
  <c r="N82" i="6" s="1"/>
  <c r="E3" i="6"/>
  <c r="R74" i="5"/>
  <c r="Q74" i="5"/>
  <c r="P74" i="5"/>
  <c r="O74" i="5"/>
  <c r="N74" i="5"/>
  <c r="M74" i="5"/>
  <c r="L74" i="5"/>
  <c r="K74" i="5"/>
  <c r="J74" i="5"/>
  <c r="I74" i="5"/>
  <c r="H74" i="5"/>
  <c r="F74" i="5"/>
  <c r="E74" i="5"/>
  <c r="D74" i="5"/>
  <c r="C74" i="5"/>
  <c r="T73" i="5"/>
  <c r="G73" i="5"/>
  <c r="T72" i="5"/>
  <c r="G72" i="5"/>
  <c r="T71" i="5"/>
  <c r="G71" i="5"/>
  <c r="T70" i="5"/>
  <c r="G70" i="5"/>
  <c r="T69" i="5"/>
  <c r="T74" i="5" s="1"/>
  <c r="G69" i="5"/>
  <c r="G74" i="5" s="1"/>
  <c r="S66" i="5"/>
  <c r="R66" i="5"/>
  <c r="Q66" i="5"/>
  <c r="P66" i="5"/>
  <c r="O66" i="5"/>
  <c r="N66" i="5"/>
  <c r="M66" i="5"/>
  <c r="L66" i="5"/>
  <c r="K66" i="5"/>
  <c r="J66" i="5"/>
  <c r="I66" i="5"/>
  <c r="H66" i="5"/>
  <c r="F66" i="5"/>
  <c r="E66" i="5"/>
  <c r="D66" i="5"/>
  <c r="C66" i="5"/>
  <c r="T65" i="5"/>
  <c r="G65" i="5"/>
  <c r="T64" i="5"/>
  <c r="T66" i="5" s="1"/>
  <c r="G64" i="5"/>
  <c r="G66" i="5" s="1"/>
  <c r="G63" i="5"/>
  <c r="E61" i="5"/>
  <c r="E75" i="5" s="1"/>
  <c r="T60" i="5"/>
  <c r="G60" i="5"/>
  <c r="T59" i="5"/>
  <c r="O59" i="5"/>
  <c r="O56" i="5" s="1"/>
  <c r="G59" i="5"/>
  <c r="G56" i="5" s="1"/>
  <c r="T58" i="5"/>
  <c r="G58" i="5"/>
  <c r="T57" i="5"/>
  <c r="T56" i="5" s="1"/>
  <c r="G57" i="5"/>
  <c r="S56" i="5"/>
  <c r="R56" i="5"/>
  <c r="Q56" i="5"/>
  <c r="P56" i="5"/>
  <c r="N56" i="5"/>
  <c r="M56" i="5"/>
  <c r="L56" i="5"/>
  <c r="K56" i="5"/>
  <c r="J56" i="5"/>
  <c r="I56" i="5"/>
  <c r="H56" i="5"/>
  <c r="F56" i="5"/>
  <c r="E56" i="5"/>
  <c r="D56" i="5"/>
  <c r="C56" i="5"/>
  <c r="T55" i="5"/>
  <c r="G55" i="5"/>
  <c r="T54" i="5"/>
  <c r="T51" i="5" s="1"/>
  <c r="G54" i="5"/>
  <c r="T53" i="5"/>
  <c r="G53" i="5"/>
  <c r="T52" i="5"/>
  <c r="G52" i="5"/>
  <c r="G51" i="5" s="1"/>
  <c r="S51" i="5"/>
  <c r="R51" i="5"/>
  <c r="Q51" i="5"/>
  <c r="P51" i="5"/>
  <c r="O51" i="5"/>
  <c r="N51" i="5"/>
  <c r="M51" i="5"/>
  <c r="L51" i="5"/>
  <c r="K51" i="5"/>
  <c r="J51" i="5"/>
  <c r="I51" i="5"/>
  <c r="H51" i="5"/>
  <c r="F51" i="5"/>
  <c r="E51" i="5"/>
  <c r="D51" i="5"/>
  <c r="C51" i="5"/>
  <c r="T49" i="5"/>
  <c r="G49" i="5"/>
  <c r="T48" i="5"/>
  <c r="G48" i="5"/>
  <c r="J47" i="5"/>
  <c r="T47" i="5" s="1"/>
  <c r="G47" i="5"/>
  <c r="T46" i="5"/>
  <c r="G46" i="5"/>
  <c r="T45" i="5"/>
  <c r="G45" i="5"/>
  <c r="T44" i="5"/>
  <c r="G44" i="5"/>
  <c r="T43" i="5"/>
  <c r="G43" i="5"/>
  <c r="T42" i="5"/>
  <c r="G42" i="5"/>
  <c r="G39" i="5" s="1"/>
  <c r="T41" i="5"/>
  <c r="G41" i="5"/>
  <c r="T40" i="5"/>
  <c r="G40" i="5"/>
  <c r="S39" i="5"/>
  <c r="R39" i="5"/>
  <c r="Q39" i="5"/>
  <c r="P39" i="5"/>
  <c r="O39" i="5"/>
  <c r="N39" i="5"/>
  <c r="M39" i="5"/>
  <c r="L39" i="5"/>
  <c r="K39" i="5"/>
  <c r="J39" i="5"/>
  <c r="I39" i="5"/>
  <c r="H39" i="5"/>
  <c r="F39" i="5"/>
  <c r="E39" i="5"/>
  <c r="D39" i="5"/>
  <c r="C39" i="5"/>
  <c r="T38" i="5"/>
  <c r="G38" i="5"/>
  <c r="T37" i="5"/>
  <c r="G37" i="5"/>
  <c r="T36" i="5"/>
  <c r="G36" i="5"/>
  <c r="T35" i="5"/>
  <c r="G35" i="5"/>
  <c r="T34" i="5"/>
  <c r="T32" i="5" s="1"/>
  <c r="G34" i="5"/>
  <c r="G32" i="5" s="1"/>
  <c r="T33" i="5"/>
  <c r="G33" i="5"/>
  <c r="R32" i="5"/>
  <c r="Q32" i="5"/>
  <c r="P32" i="5"/>
  <c r="O32" i="5"/>
  <c r="N32" i="5"/>
  <c r="M32" i="5"/>
  <c r="L32" i="5"/>
  <c r="K32" i="5"/>
  <c r="J32" i="5"/>
  <c r="I32" i="5"/>
  <c r="H32" i="5"/>
  <c r="F32" i="5"/>
  <c r="F61" i="5" s="1"/>
  <c r="F75" i="5" s="1"/>
  <c r="E32" i="5"/>
  <c r="D32" i="5"/>
  <c r="C32" i="5"/>
  <c r="T30" i="5"/>
  <c r="G30" i="5"/>
  <c r="S29" i="5"/>
  <c r="S24" i="5" s="1"/>
  <c r="R29" i="5"/>
  <c r="R24" i="5" s="1"/>
  <c r="Q29" i="5"/>
  <c r="P29" i="5"/>
  <c r="O29" i="5"/>
  <c r="N29" i="5"/>
  <c r="N24" i="5" s="1"/>
  <c r="N61" i="5" s="1"/>
  <c r="N75" i="5" s="1"/>
  <c r="M29" i="5"/>
  <c r="M24" i="5" s="1"/>
  <c r="M61" i="5" s="1"/>
  <c r="M75" i="5" s="1"/>
  <c r="L29" i="5"/>
  <c r="L24" i="5" s="1"/>
  <c r="K29" i="5"/>
  <c r="K24" i="5" s="1"/>
  <c r="I29" i="5"/>
  <c r="T29" i="5" s="1"/>
  <c r="H29" i="5"/>
  <c r="G29" i="5"/>
  <c r="T28" i="5"/>
  <c r="G28" i="5"/>
  <c r="T27" i="5"/>
  <c r="G27" i="5"/>
  <c r="T26" i="5"/>
  <c r="G26" i="5"/>
  <c r="T25" i="5"/>
  <c r="G25" i="5"/>
  <c r="Q24" i="5"/>
  <c r="P24" i="5"/>
  <c r="P61" i="5" s="1"/>
  <c r="P75" i="5" s="1"/>
  <c r="O24" i="5"/>
  <c r="J24" i="5"/>
  <c r="H24" i="5"/>
  <c r="H61" i="5" s="1"/>
  <c r="H75" i="5" s="1"/>
  <c r="G24" i="5"/>
  <c r="F24" i="5"/>
  <c r="E24" i="5"/>
  <c r="D24" i="5"/>
  <c r="C24" i="5"/>
  <c r="T23" i="5"/>
  <c r="G23" i="5"/>
  <c r="T22" i="5"/>
  <c r="T19" i="5" s="1"/>
  <c r="G22" i="5"/>
  <c r="G19" i="5" s="1"/>
  <c r="T21" i="5"/>
  <c r="G21" i="5"/>
  <c r="T20" i="5"/>
  <c r="G20" i="5"/>
  <c r="S19" i="5"/>
  <c r="R19" i="5"/>
  <c r="Q19" i="5"/>
  <c r="P19" i="5"/>
  <c r="O19" i="5"/>
  <c r="N19" i="5"/>
  <c r="M19" i="5"/>
  <c r="L19" i="5"/>
  <c r="K19" i="5"/>
  <c r="J19" i="5"/>
  <c r="I19" i="5"/>
  <c r="H19" i="5"/>
  <c r="F19" i="5"/>
  <c r="E19" i="5"/>
  <c r="D19" i="5"/>
  <c r="C19" i="5"/>
  <c r="T18" i="5"/>
  <c r="G18" i="5"/>
  <c r="T17" i="5"/>
  <c r="G17" i="5"/>
  <c r="T16" i="5"/>
  <c r="G16" i="5"/>
  <c r="T15" i="5"/>
  <c r="G15" i="5"/>
  <c r="T14" i="5"/>
  <c r="G14" i="5"/>
  <c r="T13" i="5"/>
  <c r="G13" i="5"/>
  <c r="T12" i="5"/>
  <c r="G12" i="5"/>
  <c r="T11" i="5"/>
  <c r="G11" i="5"/>
  <c r="T10" i="5"/>
  <c r="T7" i="5" s="1"/>
  <c r="G10" i="5"/>
  <c r="G7" i="5" s="1"/>
  <c r="T9" i="5"/>
  <c r="G9" i="5"/>
  <c r="T8" i="5"/>
  <c r="G8" i="5"/>
  <c r="S7" i="5"/>
  <c r="R7" i="5"/>
  <c r="Q7" i="5"/>
  <c r="Q61" i="5" s="1"/>
  <c r="Q75" i="5" s="1"/>
  <c r="P7" i="5"/>
  <c r="O7" i="5"/>
  <c r="N7" i="5"/>
  <c r="M7" i="5"/>
  <c r="L7" i="5"/>
  <c r="L61" i="5" s="1"/>
  <c r="L75" i="5" s="1"/>
  <c r="K7" i="5"/>
  <c r="J7" i="5"/>
  <c r="J61" i="5" s="1"/>
  <c r="J75" i="5" s="1"/>
  <c r="I7" i="5"/>
  <c r="H7" i="5"/>
  <c r="F7" i="5"/>
  <c r="E7" i="5"/>
  <c r="D7" i="5"/>
  <c r="D61" i="5" s="1"/>
  <c r="D75" i="5" s="1"/>
  <c r="C7" i="5"/>
  <c r="C61" i="5" s="1"/>
  <c r="C75" i="5" s="1"/>
  <c r="O70" i="6" l="1"/>
  <c r="E82" i="6"/>
  <c r="Q82" i="6"/>
  <c r="J82" i="6"/>
  <c r="R81" i="6"/>
  <c r="R8" i="6"/>
  <c r="R5" i="6" s="1"/>
  <c r="R70" i="6" s="1"/>
  <c r="R82" i="6" s="1"/>
  <c r="O74" i="6"/>
  <c r="O81" i="6" s="1"/>
  <c r="P74" i="6"/>
  <c r="P81" i="6" s="1"/>
  <c r="P82" i="6" s="1"/>
  <c r="M5" i="6"/>
  <c r="M70" i="6" s="1"/>
  <c r="M82" i="6" s="1"/>
  <c r="I74" i="6"/>
  <c r="I81" i="6" s="1"/>
  <c r="I82" i="6" s="1"/>
  <c r="O61" i="5"/>
  <c r="O75" i="5" s="1"/>
  <c r="T24" i="5"/>
  <c r="T61" i="5" s="1"/>
  <c r="T75" i="5" s="1"/>
  <c r="G61" i="5"/>
  <c r="G75" i="5" s="1"/>
  <c r="I61" i="5"/>
  <c r="I75" i="5" s="1"/>
  <c r="R61" i="5"/>
  <c r="R75" i="5" s="1"/>
  <c r="T39" i="5"/>
  <c r="K61" i="5"/>
  <c r="K75" i="5" s="1"/>
  <c r="S61" i="5"/>
  <c r="S75" i="5" s="1"/>
  <c r="I24" i="5"/>
  <c r="O82" i="6" l="1"/>
  <c r="K58" i="4" l="1"/>
  <c r="C58" i="4"/>
  <c r="P57" i="4"/>
  <c r="P56" i="4"/>
  <c r="M55" i="4"/>
  <c r="K55" i="4"/>
  <c r="I55" i="4"/>
  <c r="H55" i="4"/>
  <c r="G55" i="4"/>
  <c r="F55" i="4"/>
  <c r="E55" i="4"/>
  <c r="D55" i="4"/>
  <c r="P55" i="4" s="1"/>
  <c r="M54" i="4"/>
  <c r="K54" i="4"/>
  <c r="J54" i="4"/>
  <c r="J51" i="4" s="1"/>
  <c r="J58" i="4" s="1"/>
  <c r="I54" i="4"/>
  <c r="H54" i="4"/>
  <c r="G54" i="4"/>
  <c r="F54" i="4"/>
  <c r="E54" i="4"/>
  <c r="P54" i="4" s="1"/>
  <c r="D54" i="4"/>
  <c r="M53" i="4"/>
  <c r="M51" i="4" s="1"/>
  <c r="M58" i="4" s="1"/>
  <c r="I53" i="4"/>
  <c r="I51" i="4" s="1"/>
  <c r="I58" i="4" s="1"/>
  <c r="H53" i="4"/>
  <c r="G53" i="4"/>
  <c r="F53" i="4"/>
  <c r="E53" i="4"/>
  <c r="E51" i="4" s="1"/>
  <c r="E58" i="4" s="1"/>
  <c r="D53" i="4"/>
  <c r="P53" i="4" s="1"/>
  <c r="O52" i="4"/>
  <c r="O51" i="4" s="1"/>
  <c r="O58" i="4" s="1"/>
  <c r="N52" i="4"/>
  <c r="N51" i="4" s="1"/>
  <c r="N58" i="4" s="1"/>
  <c r="M52" i="4"/>
  <c r="I52" i="4"/>
  <c r="H52" i="4"/>
  <c r="G52" i="4"/>
  <c r="G51" i="4" s="1"/>
  <c r="G58" i="4" s="1"/>
  <c r="F52" i="4"/>
  <c r="F51" i="4" s="1"/>
  <c r="F58" i="4" s="1"/>
  <c r="E52" i="4"/>
  <c r="D52" i="4"/>
  <c r="P52" i="4" s="1"/>
  <c r="P51" i="4" s="1"/>
  <c r="L51" i="4"/>
  <c r="L58" i="4" s="1"/>
  <c r="K51" i="4"/>
  <c r="H51" i="4"/>
  <c r="H58" i="4" s="1"/>
  <c r="D51" i="4"/>
  <c r="D58" i="4" s="1"/>
  <c r="C51" i="4"/>
  <c r="P50" i="4"/>
  <c r="P49" i="4"/>
  <c r="P48" i="4"/>
  <c r="J47" i="4"/>
  <c r="I47" i="4"/>
  <c r="I59" i="4" s="1"/>
  <c r="H46" i="4"/>
  <c r="P46" i="4" s="1"/>
  <c r="G46" i="4"/>
  <c r="E46" i="4"/>
  <c r="D46" i="4"/>
  <c r="H45" i="4"/>
  <c r="G45" i="4"/>
  <c r="F45" i="4"/>
  <c r="E45" i="4"/>
  <c r="P45" i="4" s="1"/>
  <c r="D45" i="4"/>
  <c r="P44" i="4"/>
  <c r="P43" i="4"/>
  <c r="P42" i="4"/>
  <c r="P41" i="4"/>
  <c r="P40" i="4"/>
  <c r="M39" i="4"/>
  <c r="H39" i="4"/>
  <c r="G39" i="4"/>
  <c r="F39" i="4"/>
  <c r="E39" i="4"/>
  <c r="P39" i="4" s="1"/>
  <c r="D39" i="4"/>
  <c r="H38" i="4"/>
  <c r="G38" i="4"/>
  <c r="P38" i="4" s="1"/>
  <c r="F38" i="4"/>
  <c r="D38" i="4"/>
  <c r="I37" i="4"/>
  <c r="H37" i="4"/>
  <c r="G37" i="4"/>
  <c r="F37" i="4"/>
  <c r="E37" i="4"/>
  <c r="P37" i="4" s="1"/>
  <c r="D37" i="4"/>
  <c r="H36" i="4"/>
  <c r="G36" i="4"/>
  <c r="F36" i="4"/>
  <c r="E36" i="4"/>
  <c r="D36" i="4"/>
  <c r="P36" i="4" s="1"/>
  <c r="P35" i="4"/>
  <c r="H35" i="4"/>
  <c r="G35" i="4"/>
  <c r="F35" i="4"/>
  <c r="E35" i="4"/>
  <c r="D35" i="4"/>
  <c r="P34" i="4"/>
  <c r="P33" i="4"/>
  <c r="P32" i="4"/>
  <c r="P31" i="4"/>
  <c r="P30" i="4"/>
  <c r="P29" i="4"/>
  <c r="P28" i="4"/>
  <c r="P27" i="4"/>
  <c r="P26" i="4"/>
  <c r="P25" i="4"/>
  <c r="P24" i="4"/>
  <c r="H24" i="4"/>
  <c r="G24" i="4"/>
  <c r="F24" i="4"/>
  <c r="E24" i="4"/>
  <c r="D24" i="4"/>
  <c r="O23" i="4"/>
  <c r="M23" i="4"/>
  <c r="K23" i="4"/>
  <c r="J23" i="4"/>
  <c r="I23" i="4"/>
  <c r="P23" i="4" s="1"/>
  <c r="P22" i="4"/>
  <c r="H21" i="4"/>
  <c r="G21" i="4"/>
  <c r="F21" i="4"/>
  <c r="P21" i="4" s="1"/>
  <c r="E21" i="4"/>
  <c r="D21" i="4"/>
  <c r="M20" i="4"/>
  <c r="P20" i="4" s="1"/>
  <c r="P19" i="4"/>
  <c r="P18" i="4"/>
  <c r="O17" i="4"/>
  <c r="M17" i="4"/>
  <c r="H17" i="4"/>
  <c r="G17" i="4"/>
  <c r="F17" i="4"/>
  <c r="P17" i="4" s="1"/>
  <c r="E17" i="4"/>
  <c r="D17" i="4"/>
  <c r="H16" i="4"/>
  <c r="G16" i="4"/>
  <c r="F16" i="4"/>
  <c r="E16" i="4"/>
  <c r="D16" i="4"/>
  <c r="P16" i="4" s="1"/>
  <c r="P15" i="4"/>
  <c r="G14" i="4"/>
  <c r="E14" i="4"/>
  <c r="P14" i="4" s="1"/>
  <c r="D14" i="4"/>
  <c r="H13" i="4"/>
  <c r="G13" i="4"/>
  <c r="F13" i="4"/>
  <c r="E13" i="4"/>
  <c r="D13" i="4"/>
  <c r="P13" i="4" s="1"/>
  <c r="P12" i="4"/>
  <c r="M12" i="4"/>
  <c r="H12" i="4"/>
  <c r="G12" i="4"/>
  <c r="F12" i="4"/>
  <c r="E12" i="4"/>
  <c r="D12" i="4"/>
  <c r="H11" i="4"/>
  <c r="G11" i="4"/>
  <c r="F11" i="4"/>
  <c r="E11" i="4"/>
  <c r="D11" i="4"/>
  <c r="P11" i="4" s="1"/>
  <c r="O10" i="4"/>
  <c r="N10" i="4"/>
  <c r="M10" i="4"/>
  <c r="K10" i="4"/>
  <c r="J10" i="4"/>
  <c r="I10" i="4"/>
  <c r="G10" i="4"/>
  <c r="D10" i="4"/>
  <c r="P10" i="4" s="1"/>
  <c r="O9" i="4"/>
  <c r="H9" i="4"/>
  <c r="G9" i="4"/>
  <c r="F9" i="4"/>
  <c r="E9" i="4"/>
  <c r="D9" i="4"/>
  <c r="P9" i="4" s="1"/>
  <c r="O8" i="4"/>
  <c r="I8" i="4"/>
  <c r="H8" i="4"/>
  <c r="G8" i="4"/>
  <c r="F8" i="4"/>
  <c r="E8" i="4"/>
  <c r="D8" i="4"/>
  <c r="P8" i="4" s="1"/>
  <c r="O7" i="4"/>
  <c r="O6" i="4" s="1"/>
  <c r="O47" i="4" s="1"/>
  <c r="O59" i="4" s="1"/>
  <c r="N7" i="4"/>
  <c r="N6" i="4" s="1"/>
  <c r="N47" i="4" s="1"/>
  <c r="N59" i="4" s="1"/>
  <c r="M7" i="4"/>
  <c r="M6" i="4" s="1"/>
  <c r="M47" i="4" s="1"/>
  <c r="M59" i="4" s="1"/>
  <c r="J7" i="4"/>
  <c r="I7" i="4"/>
  <c r="H7" i="4"/>
  <c r="G7" i="4"/>
  <c r="G6" i="4" s="1"/>
  <c r="G47" i="4" s="1"/>
  <c r="F7" i="4"/>
  <c r="F6" i="4" s="1"/>
  <c r="F47" i="4" s="1"/>
  <c r="F59" i="4" s="1"/>
  <c r="E7" i="4"/>
  <c r="D7" i="4"/>
  <c r="P7" i="4" s="1"/>
  <c r="L6" i="4"/>
  <c r="K6" i="4"/>
  <c r="J6" i="4"/>
  <c r="I6" i="4"/>
  <c r="H6" i="4"/>
  <c r="D6" i="4"/>
  <c r="C6" i="4"/>
  <c r="K5" i="4"/>
  <c r="K4" i="4" s="1"/>
  <c r="K47" i="4" s="1"/>
  <c r="K59" i="4" s="1"/>
  <c r="O4" i="4"/>
  <c r="N4" i="4"/>
  <c r="M4" i="4"/>
  <c r="L4" i="4"/>
  <c r="L47" i="4" s="1"/>
  <c r="L59" i="4" s="1"/>
  <c r="J4" i="4"/>
  <c r="I4" i="4"/>
  <c r="H4" i="4"/>
  <c r="H47" i="4" s="1"/>
  <c r="G4" i="4"/>
  <c r="F4" i="4"/>
  <c r="E4" i="4"/>
  <c r="D4" i="4"/>
  <c r="D47" i="4" s="1"/>
  <c r="D59" i="4" s="1"/>
  <c r="C4" i="4"/>
  <c r="C47" i="4" s="1"/>
  <c r="C59" i="4" s="1"/>
  <c r="S71" i="3"/>
  <c r="R71" i="3"/>
  <c r="Q71" i="3"/>
  <c r="O71" i="3"/>
  <c r="N71" i="3"/>
  <c r="M71" i="3"/>
  <c r="L71" i="3"/>
  <c r="K71" i="3"/>
  <c r="J71" i="3"/>
  <c r="I71" i="3"/>
  <c r="H71" i="3"/>
  <c r="F71" i="3"/>
  <c r="E71" i="3"/>
  <c r="D71" i="3"/>
  <c r="C71" i="3"/>
  <c r="T70" i="3"/>
  <c r="G70" i="3"/>
  <c r="T69" i="3"/>
  <c r="G69" i="3"/>
  <c r="T68" i="3"/>
  <c r="G68" i="3"/>
  <c r="P67" i="3"/>
  <c r="T67" i="3" s="1"/>
  <c r="G67" i="3"/>
  <c r="G71" i="3" s="1"/>
  <c r="T66" i="3"/>
  <c r="G66" i="3"/>
  <c r="T63" i="3"/>
  <c r="G63" i="3"/>
  <c r="T62" i="3"/>
  <c r="G62" i="3"/>
  <c r="T61" i="3"/>
  <c r="G61" i="3"/>
  <c r="T58" i="3"/>
  <c r="G58" i="3"/>
  <c r="T57" i="3"/>
  <c r="G57" i="3"/>
  <c r="T56" i="3"/>
  <c r="G56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F55" i="3"/>
  <c r="C55" i="3"/>
  <c r="G55" i="3" s="1"/>
  <c r="T54" i="3"/>
  <c r="T50" i="3" s="1"/>
  <c r="G54" i="3"/>
  <c r="T53" i="3"/>
  <c r="G53" i="3"/>
  <c r="T52" i="3"/>
  <c r="G52" i="3"/>
  <c r="T51" i="3"/>
  <c r="G51" i="3"/>
  <c r="G50" i="3" s="1"/>
  <c r="S50" i="3"/>
  <c r="R50" i="3"/>
  <c r="Q50" i="3"/>
  <c r="P50" i="3"/>
  <c r="O50" i="3"/>
  <c r="N50" i="3"/>
  <c r="M50" i="3"/>
  <c r="L50" i="3"/>
  <c r="L59" i="3" s="1"/>
  <c r="L72" i="3" s="1"/>
  <c r="K50" i="3"/>
  <c r="J50" i="3"/>
  <c r="I50" i="3"/>
  <c r="H50" i="3"/>
  <c r="F50" i="3"/>
  <c r="E50" i="3"/>
  <c r="D50" i="3"/>
  <c r="D59" i="3" s="1"/>
  <c r="D72" i="3" s="1"/>
  <c r="C50" i="3"/>
  <c r="T48" i="3"/>
  <c r="G48" i="3"/>
  <c r="T47" i="3"/>
  <c r="G47" i="3"/>
  <c r="T46" i="3"/>
  <c r="G46" i="3"/>
  <c r="T45" i="3"/>
  <c r="G45" i="3"/>
  <c r="T44" i="3"/>
  <c r="G44" i="3"/>
  <c r="T43" i="3"/>
  <c r="G43" i="3"/>
  <c r="T42" i="3"/>
  <c r="G42" i="3"/>
  <c r="T41" i="3"/>
  <c r="T38" i="3" s="1"/>
  <c r="G41" i="3"/>
  <c r="T40" i="3"/>
  <c r="R40" i="3"/>
  <c r="R38" i="3" s="1"/>
  <c r="G40" i="3"/>
  <c r="T39" i="3"/>
  <c r="G39" i="3"/>
  <c r="G38" i="3" s="1"/>
  <c r="S38" i="3"/>
  <c r="Q38" i="3"/>
  <c r="P38" i="3"/>
  <c r="O38" i="3"/>
  <c r="N38" i="3"/>
  <c r="M38" i="3"/>
  <c r="L38" i="3"/>
  <c r="K38" i="3"/>
  <c r="J38" i="3"/>
  <c r="I38" i="3"/>
  <c r="H38" i="3"/>
  <c r="F38" i="3"/>
  <c r="E38" i="3"/>
  <c r="D38" i="3"/>
  <c r="C38" i="3"/>
  <c r="T37" i="3"/>
  <c r="G37" i="3"/>
  <c r="T36" i="3"/>
  <c r="G36" i="3"/>
  <c r="T35" i="3"/>
  <c r="G35" i="3"/>
  <c r="T34" i="3"/>
  <c r="T31" i="3" s="1"/>
  <c r="G34" i="3"/>
  <c r="T33" i="3"/>
  <c r="G33" i="3"/>
  <c r="T32" i="3"/>
  <c r="G32" i="3"/>
  <c r="G31" i="3" s="1"/>
  <c r="S31" i="3"/>
  <c r="R31" i="3"/>
  <c r="Q31" i="3"/>
  <c r="P31" i="3"/>
  <c r="O31" i="3"/>
  <c r="N31" i="3"/>
  <c r="M31" i="3"/>
  <c r="L31" i="3"/>
  <c r="K31" i="3"/>
  <c r="J31" i="3"/>
  <c r="I31" i="3"/>
  <c r="H31" i="3"/>
  <c r="F31" i="3"/>
  <c r="E31" i="3"/>
  <c r="D31" i="3"/>
  <c r="C31" i="3"/>
  <c r="I29" i="3"/>
  <c r="T29" i="3" s="1"/>
  <c r="H29" i="3"/>
  <c r="G29" i="3"/>
  <c r="E29" i="3"/>
  <c r="S28" i="3"/>
  <c r="R28" i="3"/>
  <c r="Q28" i="3"/>
  <c r="Q23" i="3" s="1"/>
  <c r="O28" i="3"/>
  <c r="O23" i="3" s="1"/>
  <c r="N28" i="3"/>
  <c r="M28" i="3"/>
  <c r="L28" i="3"/>
  <c r="K28" i="3"/>
  <c r="T28" i="3" s="1"/>
  <c r="G28" i="3"/>
  <c r="T27" i="3"/>
  <c r="G27" i="3"/>
  <c r="T26" i="3"/>
  <c r="G26" i="3"/>
  <c r="T25" i="3"/>
  <c r="G25" i="3"/>
  <c r="T24" i="3"/>
  <c r="G24" i="3"/>
  <c r="G23" i="3" s="1"/>
  <c r="S23" i="3"/>
  <c r="R23" i="3"/>
  <c r="P23" i="3"/>
  <c r="N23" i="3"/>
  <c r="M23" i="3"/>
  <c r="L23" i="3"/>
  <c r="K23" i="3"/>
  <c r="J23" i="3"/>
  <c r="H23" i="3"/>
  <c r="F23" i="3"/>
  <c r="E23" i="3"/>
  <c r="D23" i="3"/>
  <c r="C23" i="3"/>
  <c r="T22" i="3"/>
  <c r="G22" i="3"/>
  <c r="T21" i="3"/>
  <c r="G21" i="3"/>
  <c r="S20" i="3"/>
  <c r="S18" i="3" s="1"/>
  <c r="G20" i="3"/>
  <c r="T19" i="3"/>
  <c r="G19" i="3"/>
  <c r="G18" i="3" s="1"/>
  <c r="R18" i="3"/>
  <c r="Q18" i="3"/>
  <c r="P18" i="3"/>
  <c r="O18" i="3"/>
  <c r="N18" i="3"/>
  <c r="N59" i="3" s="1"/>
  <c r="N72" i="3" s="1"/>
  <c r="M18" i="3"/>
  <c r="M59" i="3" s="1"/>
  <c r="M72" i="3" s="1"/>
  <c r="L18" i="3"/>
  <c r="K18" i="3"/>
  <c r="J18" i="3"/>
  <c r="I18" i="3"/>
  <c r="H18" i="3"/>
  <c r="F18" i="3"/>
  <c r="F59" i="3" s="1"/>
  <c r="F72" i="3" s="1"/>
  <c r="E18" i="3"/>
  <c r="D18" i="3"/>
  <c r="C18" i="3"/>
  <c r="T17" i="3"/>
  <c r="G17" i="3"/>
  <c r="T16" i="3"/>
  <c r="G16" i="3"/>
  <c r="T15" i="3"/>
  <c r="G15" i="3"/>
  <c r="T14" i="3"/>
  <c r="D14" i="3"/>
  <c r="G14" i="3" s="1"/>
  <c r="T13" i="3"/>
  <c r="G13" i="3"/>
  <c r="T12" i="3"/>
  <c r="G12" i="3"/>
  <c r="T11" i="3"/>
  <c r="G11" i="3"/>
  <c r="T10" i="3"/>
  <c r="G10" i="3"/>
  <c r="T9" i="3"/>
  <c r="G9" i="3"/>
  <c r="T8" i="3"/>
  <c r="T6" i="3" s="1"/>
  <c r="E8" i="3"/>
  <c r="E6" i="3" s="1"/>
  <c r="E59" i="3" s="1"/>
  <c r="E72" i="3" s="1"/>
  <c r="T7" i="3"/>
  <c r="G7" i="3"/>
  <c r="S6" i="3"/>
  <c r="S59" i="3" s="1"/>
  <c r="S72" i="3" s="1"/>
  <c r="R6" i="3"/>
  <c r="Q6" i="3"/>
  <c r="Q59" i="3" s="1"/>
  <c r="Q72" i="3" s="1"/>
  <c r="P6" i="3"/>
  <c r="P59" i="3" s="1"/>
  <c r="O6" i="3"/>
  <c r="N6" i="3"/>
  <c r="M6" i="3"/>
  <c r="L6" i="3"/>
  <c r="K6" i="3"/>
  <c r="K59" i="3" s="1"/>
  <c r="K72" i="3" s="1"/>
  <c r="J6" i="3"/>
  <c r="J59" i="3" s="1"/>
  <c r="J72" i="3" s="1"/>
  <c r="I6" i="3"/>
  <c r="H6" i="3"/>
  <c r="H59" i="3" s="1"/>
  <c r="H72" i="3" s="1"/>
  <c r="F6" i="3"/>
  <c r="D6" i="3"/>
  <c r="C6" i="3"/>
  <c r="C59" i="3" s="1"/>
  <c r="C72" i="3" s="1"/>
  <c r="P6" i="4" l="1"/>
  <c r="J59" i="4"/>
  <c r="H59" i="4"/>
  <c r="P58" i="4"/>
  <c r="G59" i="4"/>
  <c r="E6" i="4"/>
  <c r="E47" i="4" s="1"/>
  <c r="E59" i="4" s="1"/>
  <c r="P5" i="4"/>
  <c r="P4" i="4" s="1"/>
  <c r="R59" i="3"/>
  <c r="R72" i="3" s="1"/>
  <c r="T23" i="3"/>
  <c r="O59" i="3"/>
  <c r="O72" i="3" s="1"/>
  <c r="T71" i="3"/>
  <c r="G8" i="3"/>
  <c r="G6" i="3" s="1"/>
  <c r="G59" i="3" s="1"/>
  <c r="G72" i="3" s="1"/>
  <c r="T20" i="3"/>
  <c r="T18" i="3" s="1"/>
  <c r="T59" i="3" s="1"/>
  <c r="T72" i="3" s="1"/>
  <c r="I23" i="3"/>
  <c r="I59" i="3" s="1"/>
  <c r="I72" i="3" s="1"/>
  <c r="P71" i="3"/>
  <c r="P72" i="3" s="1"/>
  <c r="P47" i="4" l="1"/>
  <c r="P59" i="4" s="1"/>
  <c r="P60" i="2" l="1"/>
  <c r="H60" i="2"/>
  <c r="E60" i="2"/>
  <c r="D60" i="2"/>
  <c r="Q59" i="2"/>
  <c r="P59" i="2"/>
  <c r="I59" i="2"/>
  <c r="H59" i="2"/>
  <c r="E59" i="2"/>
  <c r="D59" i="2"/>
  <c r="S58" i="2"/>
  <c r="F58" i="2"/>
  <c r="J57" i="2"/>
  <c r="S57" i="2" s="1"/>
  <c r="F57" i="2"/>
  <c r="P56" i="2"/>
  <c r="O56" i="2"/>
  <c r="N56" i="2"/>
  <c r="H56" i="2"/>
  <c r="S56" i="2" s="1"/>
  <c r="F56" i="2"/>
  <c r="S55" i="2"/>
  <c r="P55" i="2"/>
  <c r="O55" i="2"/>
  <c r="F55" i="2"/>
  <c r="P54" i="2"/>
  <c r="N54" i="2"/>
  <c r="K54" i="2"/>
  <c r="J54" i="2"/>
  <c r="J51" i="2" s="1"/>
  <c r="J59" i="2" s="1"/>
  <c r="I54" i="2"/>
  <c r="G54" i="2"/>
  <c r="F54" i="2"/>
  <c r="R53" i="2"/>
  <c r="R51" i="2" s="1"/>
  <c r="R59" i="2" s="1"/>
  <c r="P53" i="2"/>
  <c r="N53" i="2"/>
  <c r="M53" i="2"/>
  <c r="M51" i="2" s="1"/>
  <c r="M59" i="2" s="1"/>
  <c r="J53" i="2"/>
  <c r="F53" i="2"/>
  <c r="O52" i="2"/>
  <c r="O51" i="2" s="1"/>
  <c r="O59" i="2" s="1"/>
  <c r="N52" i="2"/>
  <c r="N51" i="2" s="1"/>
  <c r="N59" i="2" s="1"/>
  <c r="K52" i="2"/>
  <c r="K51" i="2" s="1"/>
  <c r="K59" i="2" s="1"/>
  <c r="G52" i="2"/>
  <c r="G51" i="2" s="1"/>
  <c r="G59" i="2" s="1"/>
  <c r="F52" i="2"/>
  <c r="F51" i="2" s="1"/>
  <c r="Q51" i="2"/>
  <c r="P51" i="2"/>
  <c r="L51" i="2"/>
  <c r="L59" i="2" s="1"/>
  <c r="I51" i="2"/>
  <c r="H51" i="2"/>
  <c r="S50" i="2"/>
  <c r="F50" i="2"/>
  <c r="F59" i="2" s="1"/>
  <c r="E50" i="2"/>
  <c r="S49" i="2"/>
  <c r="F49" i="2"/>
  <c r="P47" i="2"/>
  <c r="H47" i="2"/>
  <c r="G47" i="2"/>
  <c r="S46" i="2"/>
  <c r="F46" i="2"/>
  <c r="S45" i="2"/>
  <c r="O45" i="2"/>
  <c r="F45" i="2"/>
  <c r="S44" i="2"/>
  <c r="F44" i="2"/>
  <c r="S43" i="2"/>
  <c r="F43" i="2"/>
  <c r="S42" i="2"/>
  <c r="F42" i="2"/>
  <c r="S41" i="2"/>
  <c r="F41" i="2"/>
  <c r="S40" i="2"/>
  <c r="F40" i="2"/>
  <c r="S39" i="2"/>
  <c r="F39" i="2"/>
  <c r="S38" i="2"/>
  <c r="F38" i="2"/>
  <c r="S37" i="2"/>
  <c r="F37" i="2"/>
  <c r="O36" i="2"/>
  <c r="S36" i="2" s="1"/>
  <c r="M36" i="2"/>
  <c r="H36" i="2"/>
  <c r="F36" i="2"/>
  <c r="S35" i="2"/>
  <c r="F35" i="2"/>
  <c r="S34" i="2"/>
  <c r="F34" i="2"/>
  <c r="S33" i="2"/>
  <c r="F33" i="2"/>
  <c r="S32" i="2"/>
  <c r="F32" i="2"/>
  <c r="S31" i="2"/>
  <c r="F31" i="2"/>
  <c r="S30" i="2"/>
  <c r="F30" i="2"/>
  <c r="S29" i="2"/>
  <c r="F29" i="2"/>
  <c r="S28" i="2"/>
  <c r="F28" i="2"/>
  <c r="S27" i="2"/>
  <c r="K27" i="2"/>
  <c r="F27" i="2"/>
  <c r="S26" i="2"/>
  <c r="F26" i="2"/>
  <c r="M25" i="2"/>
  <c r="L25" i="2"/>
  <c r="S25" i="2" s="1"/>
  <c r="F25" i="2"/>
  <c r="R24" i="2"/>
  <c r="O24" i="2"/>
  <c r="S24" i="2" s="1"/>
  <c r="F24" i="2"/>
  <c r="S23" i="2"/>
  <c r="F23" i="2"/>
  <c r="R22" i="2"/>
  <c r="Q22" i="2"/>
  <c r="P22" i="2"/>
  <c r="O22" i="2"/>
  <c r="N22" i="2"/>
  <c r="M22" i="2"/>
  <c r="L22" i="2"/>
  <c r="K22" i="2"/>
  <c r="I22" i="2"/>
  <c r="S22" i="2" s="1"/>
  <c r="H22" i="2"/>
  <c r="G22" i="2"/>
  <c r="F22" i="2"/>
  <c r="S21" i="2"/>
  <c r="F21" i="2"/>
  <c r="Q20" i="2"/>
  <c r="S20" i="2" s="1"/>
  <c r="F20" i="2"/>
  <c r="O19" i="2"/>
  <c r="K19" i="2"/>
  <c r="I19" i="2"/>
  <c r="S19" i="2" s="1"/>
  <c r="F19" i="2"/>
  <c r="S18" i="2"/>
  <c r="F18" i="2"/>
  <c r="S17" i="2"/>
  <c r="L17" i="2"/>
  <c r="K17" i="2"/>
  <c r="F17" i="2"/>
  <c r="S16" i="2"/>
  <c r="F16" i="2"/>
  <c r="S15" i="2"/>
  <c r="F15" i="2"/>
  <c r="S14" i="2"/>
  <c r="F14" i="2"/>
  <c r="S13" i="2"/>
  <c r="F13" i="2"/>
  <c r="S12" i="2"/>
  <c r="F12" i="2"/>
  <c r="S11" i="2"/>
  <c r="F11" i="2"/>
  <c r="S10" i="2"/>
  <c r="F10" i="2"/>
  <c r="J9" i="2"/>
  <c r="J47" i="2" s="1"/>
  <c r="F9" i="2"/>
  <c r="I8" i="2"/>
  <c r="G8" i="2"/>
  <c r="S8" i="2" s="1"/>
  <c r="F8" i="2"/>
  <c r="O7" i="2"/>
  <c r="M7" i="2"/>
  <c r="I7" i="2"/>
  <c r="S7" i="2" s="1"/>
  <c r="F7" i="2"/>
  <c r="R6" i="2"/>
  <c r="Q6" i="2"/>
  <c r="Q47" i="2" s="1"/>
  <c r="Q60" i="2" s="1"/>
  <c r="O6" i="2"/>
  <c r="N6" i="2"/>
  <c r="N47" i="2" s="1"/>
  <c r="N60" i="2" s="1"/>
  <c r="M6" i="2"/>
  <c r="M47" i="2" s="1"/>
  <c r="M60" i="2" s="1"/>
  <c r="K6" i="2"/>
  <c r="K47" i="2" s="1"/>
  <c r="K60" i="2" s="1"/>
  <c r="H6" i="2"/>
  <c r="G6" i="2"/>
  <c r="S6" i="2" s="1"/>
  <c r="F6" i="2"/>
  <c r="S4" i="2"/>
  <c r="R4" i="2"/>
  <c r="R47" i="2" s="1"/>
  <c r="R60" i="2" s="1"/>
  <c r="F4" i="2"/>
  <c r="F47" i="2" s="1"/>
  <c r="F60" i="2" s="1"/>
  <c r="R75" i="1"/>
  <c r="Q75" i="1"/>
  <c r="P75" i="1"/>
  <c r="O75" i="1"/>
  <c r="N75" i="1"/>
  <c r="K75" i="1"/>
  <c r="J75" i="1"/>
  <c r="I75" i="1"/>
  <c r="H75" i="1"/>
  <c r="F75" i="1"/>
  <c r="C75" i="1"/>
  <c r="S74" i="1"/>
  <c r="S75" i="1" s="1"/>
  <c r="D74" i="1"/>
  <c r="D75" i="1" s="1"/>
  <c r="T73" i="1"/>
  <c r="G73" i="1"/>
  <c r="T72" i="1"/>
  <c r="G72" i="1"/>
  <c r="T71" i="1"/>
  <c r="G71" i="1"/>
  <c r="E71" i="1"/>
  <c r="T70" i="1"/>
  <c r="G70" i="1"/>
  <c r="T69" i="1"/>
  <c r="G69" i="1"/>
  <c r="T68" i="1"/>
  <c r="E68" i="1"/>
  <c r="E75" i="1" s="1"/>
  <c r="T67" i="1"/>
  <c r="G67" i="1"/>
  <c r="E67" i="1"/>
  <c r="T66" i="1"/>
  <c r="L66" i="1"/>
  <c r="L75" i="1" s="1"/>
  <c r="G66" i="1"/>
  <c r="M65" i="1"/>
  <c r="M75" i="1" s="1"/>
  <c r="J65" i="1"/>
  <c r="G65" i="1"/>
  <c r="E65" i="1"/>
  <c r="T64" i="1"/>
  <c r="G64" i="1"/>
  <c r="T63" i="1"/>
  <c r="T62" i="1"/>
  <c r="T61" i="1"/>
  <c r="G61" i="1"/>
  <c r="T60" i="1"/>
  <c r="G60" i="1"/>
  <c r="T59" i="1"/>
  <c r="G59" i="1"/>
  <c r="T58" i="1"/>
  <c r="S57" i="1"/>
  <c r="S76" i="1" s="1"/>
  <c r="K57" i="1"/>
  <c r="K76" i="1" s="1"/>
  <c r="C57" i="1"/>
  <c r="C76" i="1" s="1"/>
  <c r="T56" i="1"/>
  <c r="G56" i="1"/>
  <c r="T55" i="1"/>
  <c r="G55" i="1"/>
  <c r="E55" i="1"/>
  <c r="T54" i="1"/>
  <c r="T53" i="1" s="1"/>
  <c r="E54" i="1"/>
  <c r="G54" i="1" s="1"/>
  <c r="G53" i="1" s="1"/>
  <c r="S53" i="1"/>
  <c r="R53" i="1"/>
  <c r="Q53" i="1"/>
  <c r="P53" i="1"/>
  <c r="O53" i="1"/>
  <c r="N53" i="1"/>
  <c r="M53" i="1"/>
  <c r="L53" i="1"/>
  <c r="K53" i="1"/>
  <c r="J53" i="1"/>
  <c r="I53" i="1"/>
  <c r="H53" i="1"/>
  <c r="D53" i="1"/>
  <c r="C53" i="1"/>
  <c r="T52" i="1"/>
  <c r="E52" i="1"/>
  <c r="G52" i="1" s="1"/>
  <c r="T51" i="1"/>
  <c r="G51" i="1"/>
  <c r="T50" i="1"/>
  <c r="T48" i="1" s="1"/>
  <c r="G50" i="1"/>
  <c r="T49" i="1"/>
  <c r="G49" i="1"/>
  <c r="G48" i="1" s="1"/>
  <c r="E49" i="1"/>
  <c r="S48" i="1"/>
  <c r="R48" i="1"/>
  <c r="Q48" i="1"/>
  <c r="P48" i="1"/>
  <c r="O48" i="1"/>
  <c r="N48" i="1"/>
  <c r="M48" i="1"/>
  <c r="L48" i="1"/>
  <c r="K48" i="1"/>
  <c r="J48" i="1"/>
  <c r="I48" i="1"/>
  <c r="H48" i="1"/>
  <c r="F48" i="1"/>
  <c r="D48" i="1"/>
  <c r="C48" i="1"/>
  <c r="T46" i="1"/>
  <c r="G46" i="1"/>
  <c r="T45" i="1"/>
  <c r="G45" i="1"/>
  <c r="T44" i="1"/>
  <c r="E44" i="1"/>
  <c r="G44" i="1" s="1"/>
  <c r="T43" i="1"/>
  <c r="G43" i="1"/>
  <c r="T42" i="1"/>
  <c r="G42" i="1"/>
  <c r="E42" i="1"/>
  <c r="T41" i="1"/>
  <c r="E41" i="1"/>
  <c r="G41" i="1" s="1"/>
  <c r="L40" i="1"/>
  <c r="T40" i="1" s="1"/>
  <c r="G40" i="1"/>
  <c r="T39" i="1"/>
  <c r="T37" i="1" s="1"/>
  <c r="D39" i="1"/>
  <c r="D37" i="1" s="1"/>
  <c r="T38" i="1"/>
  <c r="G38" i="1"/>
  <c r="E38" i="1"/>
  <c r="S37" i="1"/>
  <c r="R37" i="1"/>
  <c r="Q37" i="1"/>
  <c r="P37" i="1"/>
  <c r="O37" i="1"/>
  <c r="N37" i="1"/>
  <c r="M37" i="1"/>
  <c r="L37" i="1"/>
  <c r="K37" i="1"/>
  <c r="J37" i="1"/>
  <c r="I37" i="1"/>
  <c r="H37" i="1"/>
  <c r="F37" i="1"/>
  <c r="C37" i="1"/>
  <c r="T36" i="1"/>
  <c r="E36" i="1"/>
  <c r="G36" i="1" s="1"/>
  <c r="T35" i="1"/>
  <c r="G35" i="1"/>
  <c r="T34" i="1"/>
  <c r="G34" i="1"/>
  <c r="T33" i="1"/>
  <c r="G33" i="1"/>
  <c r="E33" i="1"/>
  <c r="T32" i="1"/>
  <c r="T30" i="1" s="1"/>
  <c r="D32" i="1"/>
  <c r="G32" i="1" s="1"/>
  <c r="T31" i="1"/>
  <c r="E31" i="1"/>
  <c r="D31" i="1"/>
  <c r="G31" i="1" s="1"/>
  <c r="G30" i="1" s="1"/>
  <c r="S30" i="1"/>
  <c r="R30" i="1"/>
  <c r="Q30" i="1"/>
  <c r="P30" i="1"/>
  <c r="O30" i="1"/>
  <c r="N30" i="1"/>
  <c r="M30" i="1"/>
  <c r="L30" i="1"/>
  <c r="K30" i="1"/>
  <c r="J30" i="1"/>
  <c r="I30" i="1"/>
  <c r="H30" i="1"/>
  <c r="F30" i="1"/>
  <c r="E30" i="1"/>
  <c r="C30" i="1"/>
  <c r="J28" i="1"/>
  <c r="T28" i="1" s="1"/>
  <c r="I28" i="1"/>
  <c r="G28" i="1"/>
  <c r="H27" i="1"/>
  <c r="T27" i="1" s="1"/>
  <c r="G27" i="1"/>
  <c r="T26" i="1"/>
  <c r="G26" i="1"/>
  <c r="T25" i="1"/>
  <c r="G25" i="1"/>
  <c r="T24" i="1"/>
  <c r="T22" i="1" s="1"/>
  <c r="E24" i="1"/>
  <c r="E22" i="1" s="1"/>
  <c r="T23" i="1"/>
  <c r="G23" i="1"/>
  <c r="S22" i="1"/>
  <c r="R22" i="1"/>
  <c r="Q22" i="1"/>
  <c r="P22" i="1"/>
  <c r="O22" i="1"/>
  <c r="N22" i="1"/>
  <c r="M22" i="1"/>
  <c r="L22" i="1"/>
  <c r="K22" i="1"/>
  <c r="I22" i="1"/>
  <c r="F22" i="1"/>
  <c r="D22" i="1"/>
  <c r="C22" i="1"/>
  <c r="T21" i="1"/>
  <c r="G21" i="1"/>
  <c r="T20" i="1"/>
  <c r="G20" i="1"/>
  <c r="T19" i="1"/>
  <c r="G19" i="1"/>
  <c r="D19" i="1"/>
  <c r="T18" i="1"/>
  <c r="M18" i="1"/>
  <c r="D18" i="1"/>
  <c r="G18" i="1" s="1"/>
  <c r="G17" i="1" s="1"/>
  <c r="T17" i="1"/>
  <c r="S17" i="1"/>
  <c r="R17" i="1"/>
  <c r="Q17" i="1"/>
  <c r="P17" i="1"/>
  <c r="O17" i="1"/>
  <c r="N17" i="1"/>
  <c r="M17" i="1"/>
  <c r="L17" i="1"/>
  <c r="L57" i="1" s="1"/>
  <c r="K17" i="1"/>
  <c r="J17" i="1"/>
  <c r="I17" i="1"/>
  <c r="H17" i="1"/>
  <c r="F17" i="1"/>
  <c r="E17" i="1"/>
  <c r="D17" i="1"/>
  <c r="C17" i="1"/>
  <c r="T16" i="1"/>
  <c r="D16" i="1"/>
  <c r="G16" i="1" s="1"/>
  <c r="T15" i="1"/>
  <c r="E15" i="1"/>
  <c r="G15" i="1" s="1"/>
  <c r="T14" i="1"/>
  <c r="G14" i="1"/>
  <c r="T13" i="1"/>
  <c r="N13" i="1"/>
  <c r="G13" i="1"/>
  <c r="D13" i="1"/>
  <c r="T12" i="1"/>
  <c r="G12" i="1"/>
  <c r="T11" i="1"/>
  <c r="N11" i="1"/>
  <c r="G11" i="1"/>
  <c r="D11" i="1"/>
  <c r="T10" i="1"/>
  <c r="G10" i="1"/>
  <c r="T9" i="1"/>
  <c r="G9" i="1"/>
  <c r="T8" i="1"/>
  <c r="E8" i="1"/>
  <c r="G8" i="1" s="1"/>
  <c r="T7" i="1"/>
  <c r="G7" i="1"/>
  <c r="D7" i="1"/>
  <c r="T6" i="1"/>
  <c r="T5" i="1" s="1"/>
  <c r="D6" i="1"/>
  <c r="G6" i="1" s="1"/>
  <c r="S5" i="1"/>
  <c r="R5" i="1"/>
  <c r="R57" i="1" s="1"/>
  <c r="R76" i="1" s="1"/>
  <c r="Q5" i="1"/>
  <c r="Q57" i="1" s="1"/>
  <c r="Q76" i="1" s="1"/>
  <c r="P5" i="1"/>
  <c r="P57" i="1" s="1"/>
  <c r="P76" i="1" s="1"/>
  <c r="O5" i="1"/>
  <c r="O57" i="1" s="1"/>
  <c r="O76" i="1" s="1"/>
  <c r="N5" i="1"/>
  <c r="N57" i="1" s="1"/>
  <c r="N76" i="1" s="1"/>
  <c r="M5" i="1"/>
  <c r="M57" i="1" s="1"/>
  <c r="M76" i="1" s="1"/>
  <c r="L5" i="1"/>
  <c r="K5" i="1"/>
  <c r="J5" i="1"/>
  <c r="I5" i="1"/>
  <c r="I57" i="1" s="1"/>
  <c r="I76" i="1" s="1"/>
  <c r="H5" i="1"/>
  <c r="F5" i="1"/>
  <c r="F57" i="1" s="1"/>
  <c r="F76" i="1" s="1"/>
  <c r="E5" i="1"/>
  <c r="C5" i="1"/>
  <c r="S59" i="2" l="1"/>
  <c r="G60" i="2"/>
  <c r="J60" i="2"/>
  <c r="S53" i="2"/>
  <c r="S54" i="2"/>
  <c r="L47" i="2"/>
  <c r="L60" i="2" s="1"/>
  <c r="S52" i="2"/>
  <c r="S51" i="2" s="1"/>
  <c r="O47" i="2"/>
  <c r="O60" i="2" s="1"/>
  <c r="S9" i="2"/>
  <c r="S47" i="2" s="1"/>
  <c r="S60" i="2" s="1"/>
  <c r="I47" i="2"/>
  <c r="I60" i="2" s="1"/>
  <c r="G5" i="1"/>
  <c r="L76" i="1"/>
  <c r="J57" i="1"/>
  <c r="J76" i="1" s="1"/>
  <c r="T57" i="1"/>
  <c r="T75" i="1"/>
  <c r="H22" i="1"/>
  <c r="H57" i="1" s="1"/>
  <c r="H76" i="1" s="1"/>
  <c r="G24" i="1"/>
  <c r="G22" i="1" s="1"/>
  <c r="D5" i="1"/>
  <c r="D30" i="1"/>
  <c r="G39" i="1"/>
  <c r="G37" i="1" s="1"/>
  <c r="G74" i="1"/>
  <c r="G75" i="1" s="1"/>
  <c r="E53" i="1"/>
  <c r="E57" i="1" s="1"/>
  <c r="E76" i="1" s="1"/>
  <c r="T65" i="1"/>
  <c r="G68" i="1"/>
  <c r="T74" i="1"/>
  <c r="J22" i="1"/>
  <c r="E37" i="1"/>
  <c r="E48" i="1"/>
  <c r="T76" i="1" l="1"/>
  <c r="D57" i="1"/>
  <c r="D76" i="1" s="1"/>
  <c r="G57" i="1"/>
  <c r="G76" i="1" s="1"/>
</calcChain>
</file>

<file path=xl/comments1.xml><?xml version="1.0" encoding="utf-8"?>
<comments xmlns="http://schemas.openxmlformats.org/spreadsheetml/2006/main">
  <authors>
    <author>FINANCIERA1</author>
  </authors>
  <commentList>
    <comment ref="Q33" authorId="0" shapeId="0">
      <text>
        <r>
          <rPr>
            <b/>
            <sz val="9"/>
            <color indexed="81"/>
            <rFont val="Tahoma"/>
            <family val="2"/>
          </rPr>
          <t>FINANCIERA1:</t>
        </r>
        <r>
          <rPr>
            <sz val="9"/>
            <color indexed="81"/>
            <rFont val="Tahoma"/>
            <family val="2"/>
          </rPr>
          <t xml:space="preserve">
LIBERACION RP AB00009 DE ABRIL 035-16 GASOLINA</t>
        </r>
      </text>
    </comment>
  </commentList>
</comments>
</file>

<file path=xl/comments2.xml><?xml version="1.0" encoding="utf-8"?>
<comments xmlns="http://schemas.openxmlformats.org/spreadsheetml/2006/main">
  <authors>
    <author>Joaquin Herazo</author>
  </authors>
  <commentList>
    <comment ref="J69" authorId="0" shapeId="0">
      <text>
        <r>
          <rPr>
            <b/>
            <sz val="9"/>
            <color indexed="81"/>
            <rFont val="Tahoma"/>
            <family val="2"/>
          </rPr>
          <t>Joaquin Herazo:</t>
        </r>
        <r>
          <rPr>
            <sz val="9"/>
            <color indexed="81"/>
            <rFont val="Tahoma"/>
            <family val="2"/>
          </rPr>
          <t xml:space="preserve">
plan manejo de transito
</t>
        </r>
      </text>
    </comment>
  </commentList>
</comments>
</file>

<file path=xl/sharedStrings.xml><?xml version="1.0" encoding="utf-8"?>
<sst xmlns="http://schemas.openxmlformats.org/spreadsheetml/2006/main" count="997" uniqueCount="408">
  <si>
    <t>CODIGO PRESUPUESTAL</t>
  </si>
  <si>
    <t xml:space="preserve">CONCEPTO </t>
  </si>
  <si>
    <t>PPTO 2016</t>
  </si>
  <si>
    <t>TRASLADOS  PPTALES</t>
  </si>
  <si>
    <t>ADICION</t>
  </si>
  <si>
    <t xml:space="preserve"> PRESUPUESTO 
AJUSTADO 2016</t>
  </si>
  <si>
    <t>COMPROMETIDO ENERO</t>
  </si>
  <si>
    <t>COMPROMETIDO FEBRERO</t>
  </si>
  <si>
    <t>COMPROMETIDO MARZO</t>
  </si>
  <si>
    <t>COMPROMETIDO ABRIL</t>
  </si>
  <si>
    <t>COMPROMETIDO MAYO</t>
  </si>
  <si>
    <t>COMPROMETIDO JUNIO</t>
  </si>
  <si>
    <t>COMPROMETIDO JULIO</t>
  </si>
  <si>
    <t>COMPROMETIDO AGOSTO</t>
  </si>
  <si>
    <t>COMPROMETIDO SEPTIEMBRE</t>
  </si>
  <si>
    <t>COMPROMETIDO OCTUBRE</t>
  </si>
  <si>
    <t>COMPROMETIDO NOVIEMBRE</t>
  </si>
  <si>
    <t>COMPROMETIDO DICIEMBRE</t>
  </si>
  <si>
    <t xml:space="preserve">COMPROMETIDO ENERO A DICIEMBRE </t>
  </si>
  <si>
    <t>CREDITOS</t>
  </si>
  <si>
    <t>C.CREDITOS</t>
  </si>
  <si>
    <t>GASTOS DE FUNCIONAMIENTO</t>
  </si>
  <si>
    <t xml:space="preserve">SERVICIOS PERSONALES </t>
  </si>
  <si>
    <t>SERVICIOS PERSONALES ASOCIADOS A LA NOMINA</t>
  </si>
  <si>
    <t>SUELDO PERSONAL DE NOMINA</t>
  </si>
  <si>
    <t>PRIMA DE NAVIDAD</t>
  </si>
  <si>
    <t>PRIMA DE VACACIONES</t>
  </si>
  <si>
    <t>INDEMNIZACION POR VACACIONES</t>
  </si>
  <si>
    <t>SUBSIDIO DE TRANSPORTE</t>
  </si>
  <si>
    <t>SEGURO DE VIDA</t>
  </si>
  <si>
    <t>JORNALES HORAS EXTRAS Y DEMAS PRES. SOCIALES</t>
  </si>
  <si>
    <t>TRABAJOS SUPLEMENTARIOS</t>
  </si>
  <si>
    <t>PRIMA DE SERVICIOS</t>
  </si>
  <si>
    <t xml:space="preserve">BONIFICACION POR SERVICIOS PRESTADOS </t>
  </si>
  <si>
    <t>BONIFICACION POR RECREACION</t>
  </si>
  <si>
    <t>SERVICIOS PERSONALES INDIRECTOS</t>
  </si>
  <si>
    <t>REMUNERACION POR SERVICIOS TECNICOS Y PROFESIONALES</t>
  </si>
  <si>
    <t>PERSONAL TEMPORAL Y SUPERNUMERARIO</t>
  </si>
  <si>
    <t>LEY 769 ART 160 (PROY. SEG. VIAL)</t>
  </si>
  <si>
    <t>OTROS GASTOS POR SERVICIOS PERSONALES</t>
  </si>
  <si>
    <t>CONTRIBUCIONES INHERENTES A LA NOMINA SECTOR PRIVADO</t>
  </si>
  <si>
    <t>CAJA DECOMPENSACIÒN FAMILIAR (4%)</t>
  </si>
  <si>
    <t>APORTES AL INST. COL. BIENESTAR FAMILIAR (3%)</t>
  </si>
  <si>
    <t>APORTES AL SENA (2%)</t>
  </si>
  <si>
    <t>APORTES A LA ESCUELA SUP. DE ADMON. PUBLICA</t>
  </si>
  <si>
    <t>APORTES A ESC. IND. E INST. TEC. DTAL. DIST. Y M/PALES</t>
  </si>
  <si>
    <t>APORTES A LA SEGURIDAD SOCIAL</t>
  </si>
  <si>
    <t>GASTOS GENERALES</t>
  </si>
  <si>
    <t>ADQUISICIÒN DE BIENES</t>
  </si>
  <si>
    <t>COMPRA DE EQUIPOS</t>
  </si>
  <si>
    <t>MATERIALES Y SUMINISTROS</t>
  </si>
  <si>
    <t>LEY 769 ART 160 (COMBUSTIBLE-EQUIPOS-DOTACION PROY SEG VIAL)</t>
  </si>
  <si>
    <t>IMPRESOS Y PUBLICACIONES</t>
  </si>
  <si>
    <t>30502180404A</t>
  </si>
  <si>
    <t>GASTOS IMPREVISTOS</t>
  </si>
  <si>
    <t>ESPECIES VENALES</t>
  </si>
  <si>
    <t>ADQUISICIÒN DE SERVICIOS</t>
  </si>
  <si>
    <t>COMUNICACIONES Y TRANSPORTE</t>
  </si>
  <si>
    <t>MANTENIMIENTO</t>
  </si>
  <si>
    <t>SEGUROS</t>
  </si>
  <si>
    <t>SERVICIOS PUBLICOS</t>
  </si>
  <si>
    <t>VIATICOS Y GASTOS DE VIAJE</t>
  </si>
  <si>
    <t xml:space="preserve">ARRENDAMIENTO DE BIENES E INMUEBLES </t>
  </si>
  <si>
    <t>IMPUESTOS, TASAS, MULTAS Y REVISIONES</t>
  </si>
  <si>
    <t>GASTOS FINANCIEROS</t>
  </si>
  <si>
    <t>OTROS GASTOS GENERALES</t>
  </si>
  <si>
    <t>TRANSFERENCIAS CORRIENTES</t>
  </si>
  <si>
    <t>TRANSFERENCIAS DE PREVISIÒN Y SEGURIDAD SOCIAL</t>
  </si>
  <si>
    <t>MESADA PENSIONAL</t>
  </si>
  <si>
    <t>BONO PENSIONAL</t>
  </si>
  <si>
    <t>CESANTIAS</t>
  </si>
  <si>
    <t>INTERESES DE CESANTIAS</t>
  </si>
  <si>
    <t>OTRAS TRANSFERENCIAS CORRIENTES</t>
  </si>
  <si>
    <t>CUMP. DE SENTENCIAS TRANSACCIONES CURADURIAS</t>
  </si>
  <si>
    <t>GASTOS DE CAPACITACION BIENESTAR SOCIAL E INCENTIVOS</t>
  </si>
  <si>
    <t>PACTOS CONVENCIONALES</t>
  </si>
  <si>
    <t xml:space="preserve">TOTAL GASTOS DE FUNCIONAMIENTO </t>
  </si>
  <si>
    <t>DEUDA PUBLICA</t>
  </si>
  <si>
    <t>SERVICIO DE LA DEUDA PUBLICA</t>
  </si>
  <si>
    <t>AMORTIZACIÒN DE CAPITAL</t>
  </si>
  <si>
    <t>INTERESES, COMISIONES Y DEMAS EROGACIONES DE LA DEUDA</t>
  </si>
  <si>
    <t>TOTAL DEUDA PUBLICA DE LA I.T.T.B</t>
  </si>
  <si>
    <t>GASTOS DE INVERSION</t>
  </si>
  <si>
    <t>MODERNIZACION Y MANTENIMIENTO RED SEMAFORIZACION</t>
  </si>
  <si>
    <t>SEÑALIZACION PARA MOVILIDAD EFICIENTE Y SEGURA</t>
  </si>
  <si>
    <t>CULTURA DE LA MOVILIDAD SEGURA</t>
  </si>
  <si>
    <t>PLAN MAESTRO DE  MOVILIDAD Y TRANSPORTE</t>
  </si>
  <si>
    <t>SERVICIO DE TRANSPORTE PUBLICO DE CALIDAD</t>
  </si>
  <si>
    <t>FORTALECIMIENTO INSTITUCIONAL</t>
  </si>
  <si>
    <t>PLAN DE MOVILIDAD URBANA SOSTENIBLE</t>
  </si>
  <si>
    <t>SISTEMA INTEGRAL DE CONTROL DE TRAFICO</t>
  </si>
  <si>
    <t>EQUIPAMENTO URBANO Y LOGISTICO PARA EL TRANSPORTE</t>
  </si>
  <si>
    <t>FORTALECIMIENTO INSTITUCIONAL DE LA ITTB</t>
  </si>
  <si>
    <t>TOTAL GASTOS DE INVERSION</t>
  </si>
  <si>
    <t>TOTAL PRESUPUESTO 2016</t>
  </si>
  <si>
    <t>CODIGO WIMAX</t>
  </si>
  <si>
    <t>CODIGO PPTAL</t>
  </si>
  <si>
    <t>DETALLE</t>
  </si>
  <si>
    <t xml:space="preserve"> PPTO 2016</t>
  </si>
  <si>
    <t>ADICION PRESUPUETAL</t>
  </si>
  <si>
    <t>PRESUPUESTO AJUSTADO</t>
  </si>
  <si>
    <t>RECAUDO ENERO 2016</t>
  </si>
  <si>
    <t>RECAUDO FEBRERO 2016</t>
  </si>
  <si>
    <t>RECAUDO MARZO 2016</t>
  </si>
  <si>
    <t>RECAUDO ABRIL 2016</t>
  </si>
  <si>
    <t>RECAUDO MAYO 2016</t>
  </si>
  <si>
    <t>RECAUDO JUNIO 2016</t>
  </si>
  <si>
    <t>RECAUDO JULIO 2016</t>
  </si>
  <si>
    <t>RECAUDO AGOSTO 2016</t>
  </si>
  <si>
    <t>RECAUDO SEPTIEMBRE 2016</t>
  </si>
  <si>
    <t>RECAUDO OCTUBRE2016</t>
  </si>
  <si>
    <t>RECAUDO NOVIEMBRE 2016</t>
  </si>
  <si>
    <t>RECAUDO DICIEMBRE 2016</t>
  </si>
  <si>
    <t>RECAUDO ENERO A DICIEMBRE 2016</t>
  </si>
  <si>
    <t>INGRESOS TRIBUTARIOS</t>
  </si>
  <si>
    <t>0.2.02.30</t>
  </si>
  <si>
    <t>1.1.1</t>
  </si>
  <si>
    <t>IMP. SOBRE VEHICULOS AUTOMOTORES</t>
  </si>
  <si>
    <t>INGRESOS NO TRIBUTARIOS</t>
  </si>
  <si>
    <t>0.2.03.90.01</t>
  </si>
  <si>
    <t>1.2.1</t>
  </si>
  <si>
    <t>MULTAS</t>
  </si>
  <si>
    <t>0.2.03.90.02</t>
  </si>
  <si>
    <t>1.2.2</t>
  </si>
  <si>
    <t>LICENCIA DE CONDUCION</t>
  </si>
  <si>
    <t>0.2.03.90.03</t>
  </si>
  <si>
    <t>1.2.3</t>
  </si>
  <si>
    <t>PERMISOS</t>
  </si>
  <si>
    <t>0.2.03.01.01</t>
  </si>
  <si>
    <t>1.2.4</t>
  </si>
  <si>
    <t xml:space="preserve">FACTURACION </t>
  </si>
  <si>
    <t>0.2.03.90.04</t>
  </si>
  <si>
    <t>1.2.5</t>
  </si>
  <si>
    <t>AVALUOS</t>
  </si>
  <si>
    <t>0.2.03.90.05</t>
  </si>
  <si>
    <t>1.2.6</t>
  </si>
  <si>
    <t>LEVANTAMIENTO DE CROQUIS</t>
  </si>
  <si>
    <t>0.2.03.90.06</t>
  </si>
  <si>
    <t>1.2.7</t>
  </si>
  <si>
    <t>SERVICIO DE GRUA</t>
  </si>
  <si>
    <t>0.2.03.90.07</t>
  </si>
  <si>
    <t>1.2.8</t>
  </si>
  <si>
    <t xml:space="preserve">CHEQUEOS </t>
  </si>
  <si>
    <t>0.2.03.90.08</t>
  </si>
  <si>
    <t>1.2.9</t>
  </si>
  <si>
    <t>MATRICULAS</t>
  </si>
  <si>
    <t>0.2.03.90.09</t>
  </si>
  <si>
    <t>1.2.10</t>
  </si>
  <si>
    <t>PORTE Y TELEGRAMAS</t>
  </si>
  <si>
    <t>0.2.03.01.02</t>
  </si>
  <si>
    <t>1.2.11</t>
  </si>
  <si>
    <t>PORTE DE PLACAS</t>
  </si>
  <si>
    <t>0.2.03.90.10</t>
  </si>
  <si>
    <t>1.2.12</t>
  </si>
  <si>
    <t>TRASPASO</t>
  </si>
  <si>
    <t>0.2.03.90.11</t>
  </si>
  <si>
    <t>1.2.13</t>
  </si>
  <si>
    <t>RADICACION DE CUENTA</t>
  </si>
  <si>
    <t>0.2.03.90.12</t>
  </si>
  <si>
    <t>1.2.14</t>
  </si>
  <si>
    <t>CERTIFICACIONES</t>
  </si>
  <si>
    <t>0.2.03.90.13</t>
  </si>
  <si>
    <t>1.2.15</t>
  </si>
  <si>
    <t>GARAJE Y PARQUEO</t>
  </si>
  <si>
    <t>0.2.03.90.14</t>
  </si>
  <si>
    <t>1.2.16</t>
  </si>
  <si>
    <t>CAMBIO DE SERVICIO</t>
  </si>
  <si>
    <t>0.2.03.90.15</t>
  </si>
  <si>
    <t>1.2.17</t>
  </si>
  <si>
    <t>EMBARGOS Y DESEMBARGOS</t>
  </si>
  <si>
    <t>0.2.03.90.16</t>
  </si>
  <si>
    <t>1.2.18</t>
  </si>
  <si>
    <t>SERVICIO DE ALFEREZ</t>
  </si>
  <si>
    <t>0.2.03.90.17</t>
  </si>
  <si>
    <t>1.2.19</t>
  </si>
  <si>
    <t>PIGNORACION-DESPIGNORACION</t>
  </si>
  <si>
    <t>0.2.03.90.18</t>
  </si>
  <si>
    <t>1.2.20</t>
  </si>
  <si>
    <t>CAMBIO DE CARACTERISTICAS</t>
  </si>
  <si>
    <t>0.2.03.90.19</t>
  </si>
  <si>
    <t>1.2.21</t>
  </si>
  <si>
    <t>DUPLICADO DE LICENCIAS</t>
  </si>
  <si>
    <t>0.2.03.90.20</t>
  </si>
  <si>
    <t>1.2.22</t>
  </si>
  <si>
    <t>REGRABACION DE MOTOR</t>
  </si>
  <si>
    <t>0.2.03.90.21</t>
  </si>
  <si>
    <t>1.2.23</t>
  </si>
  <si>
    <t>CAMBIO DE COLOR</t>
  </si>
  <si>
    <t>0.2.03.90.22</t>
  </si>
  <si>
    <t>1.2.24</t>
  </si>
  <si>
    <t>PRUEBA DE ALCOHOLEMIA</t>
  </si>
  <si>
    <t>0.2.03.90.40</t>
  </si>
  <si>
    <t>1.2.25</t>
  </si>
  <si>
    <t>DUPLICADO DE PLACAS</t>
  </si>
  <si>
    <t>0.2.03.90.23</t>
  </si>
  <si>
    <t>1.2.26</t>
  </si>
  <si>
    <t>CAMBIO DE PLACAS</t>
  </si>
  <si>
    <t>0.2.03.90.24</t>
  </si>
  <si>
    <t>1.2.27</t>
  </si>
  <si>
    <t>CAMBIO DE EMPRESA</t>
  </si>
  <si>
    <t>0.2.03.90.25</t>
  </si>
  <si>
    <t>1.2.28</t>
  </si>
  <si>
    <t>CAPACIDAD TRANSPORTADORA DISP.</t>
  </si>
  <si>
    <t>0.2.03.90.26</t>
  </si>
  <si>
    <t>1.2.29</t>
  </si>
  <si>
    <t>TARJETA DE OPERACION</t>
  </si>
  <si>
    <t>0.2.03.90.27</t>
  </si>
  <si>
    <t>1.2.30</t>
  </si>
  <si>
    <t>EXPETICIO TECNICO</t>
  </si>
  <si>
    <t>0.2.03.90.28</t>
  </si>
  <si>
    <t>1.2.31</t>
  </si>
  <si>
    <t>FOTOCOPIAS CERTIFICACIONES</t>
  </si>
  <si>
    <t>0.2.03.90.30</t>
  </si>
  <si>
    <t>1.2.32</t>
  </si>
  <si>
    <t>INTERESES MORATORIOS</t>
  </si>
  <si>
    <t>0.2.03.90.32</t>
  </si>
  <si>
    <t>1.2.33</t>
  </si>
  <si>
    <t>REFACTURACION</t>
  </si>
  <si>
    <t>0.2.03.90.33</t>
  </si>
  <si>
    <t>1.2.34</t>
  </si>
  <si>
    <t>SIN PENDIENTE</t>
  </si>
  <si>
    <t>0.2.03.90.34</t>
  </si>
  <si>
    <t>1.2.35</t>
  </si>
  <si>
    <t>CONVENIOS</t>
  </si>
  <si>
    <t>0.2.03.90.35</t>
  </si>
  <si>
    <t>1.2.38</t>
  </si>
  <si>
    <t>REPOTENCIACIÓN</t>
  </si>
  <si>
    <t>0.2.03.90.36</t>
  </si>
  <si>
    <t>1.2.39</t>
  </si>
  <si>
    <t>CANCELACION MATRICULA</t>
  </si>
  <si>
    <t>0.2.03.90.37</t>
  </si>
  <si>
    <t>1.2.40</t>
  </si>
  <si>
    <t>DEMARCACIONES</t>
  </si>
  <si>
    <t>0.2.03.90.38</t>
  </si>
  <si>
    <t>1.2.41</t>
  </si>
  <si>
    <t>F.U.N.</t>
  </si>
  <si>
    <t>0.2.03.90.39</t>
  </si>
  <si>
    <t>1.2.42</t>
  </si>
  <si>
    <t>REGISTROS</t>
  </si>
  <si>
    <t>0.2.03.90.41</t>
  </si>
  <si>
    <t>1.2.43</t>
  </si>
  <si>
    <t>OTROS INGRESOS</t>
  </si>
  <si>
    <t>TOTAL INGRESOS CORRIENTES DE LA I.T.T.B</t>
  </si>
  <si>
    <t>RECURSOS DEL CAPITAL</t>
  </si>
  <si>
    <t>RECURSOS DEL CREDITO</t>
  </si>
  <si>
    <t>0.2.07.90.02</t>
  </si>
  <si>
    <t>RECURSOS DEL BALANCE</t>
  </si>
  <si>
    <t>0.2.07.37</t>
  </si>
  <si>
    <t>RECUPERACION DE CARTERA</t>
  </si>
  <si>
    <t>0.2.07.37.01</t>
  </si>
  <si>
    <t>2.3.1</t>
  </si>
  <si>
    <t>Recuperacion cartera  comparendos</t>
  </si>
  <si>
    <t>0.2.07.37.02</t>
  </si>
  <si>
    <t>2.3.2</t>
  </si>
  <si>
    <t>Recuperacion cartera  itereses</t>
  </si>
  <si>
    <t>0.2.07.37.03</t>
  </si>
  <si>
    <t>2.3.3</t>
  </si>
  <si>
    <t>Recuperacion cartera honorarios costas</t>
  </si>
  <si>
    <t>0.2.07.37.04</t>
  </si>
  <si>
    <t>2.3.4</t>
  </si>
  <si>
    <t>Recuperacion cartera porte de placas</t>
  </si>
  <si>
    <t>0.2.07.37.05</t>
  </si>
  <si>
    <t>2.3.5</t>
  </si>
  <si>
    <t>Recuperacion cartera Sistematizacion y Facturacion</t>
  </si>
  <si>
    <t>0.2.07.19</t>
  </si>
  <si>
    <t>RENDIMIENTO FINANCIERO</t>
  </si>
  <si>
    <t>0.2.07.90.03</t>
  </si>
  <si>
    <t>VENTA ACTIVOS</t>
  </si>
  <si>
    <t>TOTAL INGRESOS CAPITAL DE LA I.T.T.B</t>
  </si>
  <si>
    <t>TOTAL PRESUPUESTO INGRESOS 2016</t>
  </si>
  <si>
    <t>PRESUPUESTO EJECUTADO AÑO 2017 INSPECCIÓN DE TRANSITO Y TRANSPORTE DE BARRANCABERMEJA NIT 890,270,948-3</t>
  </si>
  <si>
    <t>PPTO 2017</t>
  </si>
  <si>
    <t>TRASLADOS PRESUPUETALES</t>
  </si>
  <si>
    <t xml:space="preserve"> PRESUPUESTO 
AJUSTADO 2017</t>
  </si>
  <si>
    <t>COMPROMETIDO ENERO A DICIEMBRE</t>
  </si>
  <si>
    <t>CONTRACREDITOS</t>
  </si>
  <si>
    <t>MATERIALES Y SUMINISTROS Y PASIVO DE VIGENCIAS ANTERIORES</t>
  </si>
  <si>
    <t xml:space="preserve">MANTENIMIENTO </t>
  </si>
  <si>
    <t>PLAN DE MANEJO AMBIENTAL</t>
  </si>
  <si>
    <t>SISTEMA INTEGRAL DE CONTROL DE TRAFICO Y PASIVO DE VIGENCIAS ANTERIORES</t>
  </si>
  <si>
    <t>TOTAL PRESUPUESTO 2017</t>
  </si>
  <si>
    <t>EJECUCION DE INGRESOS VIGENCIA 2017</t>
  </si>
  <si>
    <t xml:space="preserve"> PPTO 2017</t>
  </si>
  <si>
    <t>RECAUDO     ENERO</t>
  </si>
  <si>
    <t>RECUADO     FEBRERO</t>
  </si>
  <si>
    <t>RECAUDO     MARZO</t>
  </si>
  <si>
    <t>RECAUDO    ABRIL</t>
  </si>
  <si>
    <t>RECAUDO     MAYO</t>
  </si>
  <si>
    <t>RECAUDO    JUNIO</t>
  </si>
  <si>
    <t>RECAUDO JULIO</t>
  </si>
  <si>
    <t>RECAUDO AGOSTO</t>
  </si>
  <si>
    <t>RECAUDO SEPTIEMBRE</t>
  </si>
  <si>
    <t>RECAUDO OCTUBRE</t>
  </si>
  <si>
    <t>RECAUDO NOVIEMBRE</t>
  </si>
  <si>
    <t>RECAUDO DICIEMBRE</t>
  </si>
  <si>
    <t>RECAUDO ENERO A DICIEMBRE</t>
  </si>
  <si>
    <t>1.2.36</t>
  </si>
  <si>
    <t>1.2.37</t>
  </si>
  <si>
    <t>TOTAL PRESUPUESTO INGRESOS 2017</t>
  </si>
  <si>
    <t>EJECUCION PRESUPUESTO DE GASTOS 2018</t>
  </si>
  <si>
    <t>INSPECCION DE TRANSITO Y TRANSPORTE DE BARRANCABERMEJA</t>
  </si>
  <si>
    <t>PPTO 2018</t>
  </si>
  <si>
    <t xml:space="preserve"> PRESUPUESTO 
AJUSTADO 2018</t>
  </si>
  <si>
    <t xml:space="preserve">COMPROMETIDO A DICIEMBRE </t>
  </si>
  <si>
    <t>COMPROMETIDO ENERO A DICIEMBRE-18</t>
  </si>
  <si>
    <t>SISTEMA DE GESTION EN SEGURIDAD Y SALUD EN EL TRABAJO</t>
  </si>
  <si>
    <t>PROGRAMA DE MOVILIDAD URBANA</t>
  </si>
  <si>
    <t>TOTAL PRESUPUESTO 2018</t>
  </si>
  <si>
    <t xml:space="preserve"> PPTO 2018</t>
  </si>
  <si>
    <t>ADICION PRESUPUESTAL</t>
  </si>
  <si>
    <t>RECAUDO ENERO 2018</t>
  </si>
  <si>
    <t>RECAUDO FEBRERO 2018</t>
  </si>
  <si>
    <t>RECAUDO MARZO 2018</t>
  </si>
  <si>
    <t>RECAUDO ABRIL 2018</t>
  </si>
  <si>
    <t>RECAUDO MAYO 2018</t>
  </si>
  <si>
    <t>RECAUDO JUNIO 2018</t>
  </si>
  <si>
    <t>RECAUDO JULIO 2018</t>
  </si>
  <si>
    <t>RECAUDO AGOSTO 2018</t>
  </si>
  <si>
    <t>RECAUDO SEPTIEMBRE 2018</t>
  </si>
  <si>
    <t>RECAUDO OCTUBRE 2018</t>
  </si>
  <si>
    <t>RECAUDO NOVIEMBRE 2018</t>
  </si>
  <si>
    <t>RECAUDO A DICIEMBRE-2018</t>
  </si>
  <si>
    <t>RECAUDO ENERO A DICIEMBRE-2018</t>
  </si>
  <si>
    <t>FORMATO DE FACTURACION</t>
  </si>
  <si>
    <t>LICENCIA DE CONDUCCION</t>
  </si>
  <si>
    <t>CERTIFICACION  DE LICENCIAS DE CONDUCCION</t>
  </si>
  <si>
    <t>AVALUOS COMERCIALES</t>
  </si>
  <si>
    <t>CHEQUEOS OTRAS PLAZAS</t>
  </si>
  <si>
    <t>CHEQUEOS A DOMICICLIO</t>
  </si>
  <si>
    <t>TRASLADO DE CUENTA</t>
  </si>
  <si>
    <t>CERTIFICADO DE TRADICION</t>
  </si>
  <si>
    <t>CERTIFICADO DE PROPIEDAD</t>
  </si>
  <si>
    <t>EMBARGOS</t>
  </si>
  <si>
    <t>DESEMBARGOS</t>
  </si>
  <si>
    <t>PIGNORACION</t>
  </si>
  <si>
    <t>DESPIGNORACION</t>
  </si>
  <si>
    <t>DUPLICADO DE LICENCIAS TRANSITO</t>
  </si>
  <si>
    <t>REGRABACION</t>
  </si>
  <si>
    <t>CAMBIO DE MOTOR</t>
  </si>
  <si>
    <t>CAMBIO  DE CARROCERIA</t>
  </si>
  <si>
    <t>CAPACIDAD TRANSPORTADORA</t>
  </si>
  <si>
    <t>REGISTRO DE TRAMITE</t>
  </si>
  <si>
    <t>TARJETA DE  OPERACIÓN TAXI</t>
  </si>
  <si>
    <t>TARJETA DE  OPERACIÓN DE BUSES</t>
  </si>
  <si>
    <t>EXPERTICIO TECNICO</t>
  </si>
  <si>
    <t>FOTOCOPIAS CERTIFICADAS</t>
  </si>
  <si>
    <t>REPOTENCIACION</t>
  </si>
  <si>
    <t>REGISTRO FOTOGRAFICO</t>
  </si>
  <si>
    <t>1.2.44</t>
  </si>
  <si>
    <t>REGISTRO POR RECUPERACION EN CASO DE HURTO O PERDIDA DEFINITIVA</t>
  </si>
  <si>
    <t>1.2.45</t>
  </si>
  <si>
    <t>HABILITACION EMPRESA PERSONA NATURAL</t>
  </si>
  <si>
    <t>1.2.46</t>
  </si>
  <si>
    <t>HABILITACION EMPRESA PERSONA JURIDICA</t>
  </si>
  <si>
    <t>1.2.47</t>
  </si>
  <si>
    <t>DESVINCULACION POR MUTUO ACUERDO</t>
  </si>
  <si>
    <t>1.2.48</t>
  </si>
  <si>
    <t>PAZ Y SALVO</t>
  </si>
  <si>
    <t>1.2.49</t>
  </si>
  <si>
    <t>REAVALUO</t>
  </si>
  <si>
    <t>1.2.50</t>
  </si>
  <si>
    <t>RENOVACION DE LICENCIAS DE TRANSITO</t>
  </si>
  <si>
    <t>1.2.51</t>
  </si>
  <si>
    <t>DUPLICADO O RENOVACION TARJETA DE REGISTRO</t>
  </si>
  <si>
    <t>1.2.52</t>
  </si>
  <si>
    <t>BLINDAJE Y DESMONTE</t>
  </si>
  <si>
    <t>1.2.53</t>
  </si>
  <si>
    <t>MODIFICACION DEL PRENDARIO POR ACREEDOR O PROPIETARIO</t>
  </si>
  <si>
    <t>12.54</t>
  </si>
  <si>
    <t>TRANSFORMACION</t>
  </si>
  <si>
    <t>1.2.55</t>
  </si>
  <si>
    <t>REMATRICULA</t>
  </si>
  <si>
    <t>1.2.56</t>
  </si>
  <si>
    <t>CONVERSION A GAS NATURAL</t>
  </si>
  <si>
    <t>1.2.57</t>
  </si>
  <si>
    <t>REGISTRO INICIAL MAQUINARIA AGRICOLA, INDUSTRIAL Y  DE CONSTRUCCION</t>
  </si>
  <si>
    <t>1.2.58</t>
  </si>
  <si>
    <t>CAMBIO DE PROPIETARIO MAQUINARIA INDUSTRIAL</t>
  </si>
  <si>
    <t>1.2.59</t>
  </si>
  <si>
    <t>1.2.60</t>
  </si>
  <si>
    <t>1.2.61</t>
  </si>
  <si>
    <t>1.2.62</t>
  </si>
  <si>
    <t>1.2.63</t>
  </si>
  <si>
    <t>FUN</t>
  </si>
  <si>
    <t>1.2.64</t>
  </si>
  <si>
    <t>2.4.</t>
  </si>
  <si>
    <t>2.5.</t>
  </si>
  <si>
    <t>VENTA DE ACTIVO</t>
  </si>
  <si>
    <t>TOTAL PRESUPUESTO INGRESOS 2018</t>
  </si>
  <si>
    <t>PPTO 2019</t>
  </si>
  <si>
    <t xml:space="preserve"> PRESUPUESTO 
AJUSTADO 2019</t>
  </si>
  <si>
    <t xml:space="preserve">COMPROMETIDO MARZO </t>
  </si>
  <si>
    <t>COMPROMETIDO ENERO-AGOSTO</t>
  </si>
  <si>
    <t xml:space="preserve">MATERIALES Y SUMINISTROS </t>
  </si>
  <si>
    <t>DEFICIT FISCAL</t>
  </si>
  <si>
    <t>TOTAL PRESUPUESTO 2019</t>
  </si>
  <si>
    <t xml:space="preserve"> PPTO 2019</t>
  </si>
  <si>
    <t>RECAUDO ENERO 2019</t>
  </si>
  <si>
    <t>RECAUDO FEBRERO 2019</t>
  </si>
  <si>
    <t>RECAUDO MARZO 2019</t>
  </si>
  <si>
    <t>RECAUDO ABRIL 2019</t>
  </si>
  <si>
    <t>RECAUDO MAYO 2019</t>
  </si>
  <si>
    <t>RECAUDO JUNIO 2019</t>
  </si>
  <si>
    <t>RECAUDO JULIO 2019</t>
  </si>
  <si>
    <t>RECAUDO AGOSTO 2019</t>
  </si>
  <si>
    <t>RECAUDO                      ENERO-AGOSTO</t>
  </si>
  <si>
    <t>Recuperacion cartera  Intereses</t>
  </si>
  <si>
    <t>TOTAL PRESUPUESTO INGRESOS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</si>
</sst>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&quot;$&quot;* #,##0.00_);_(&quot;$&quot;* \(#,##0.00\);_(&quot;$&quot;* &quot;-&quot;??_);_(@_)"/>
    <numFmt numFmtId="166" formatCode="#,##0;[Red]#,##0"/>
    <numFmt numFmtId="168" formatCode="&quot;$&quot;\ #,##0.0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haroni"/>
      <charset val="177"/>
    </font>
    <font>
      <sz val="12"/>
      <name val="Arial"/>
      <family val="2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  <font>
      <b/>
      <sz val="10"/>
      <color theme="0"/>
      <name val="Arial Narrow"/>
      <family val="2"/>
    </font>
    <font>
      <b/>
      <sz val="16"/>
      <color theme="1"/>
      <name val="Arial Black"/>
      <family val="2"/>
    </font>
    <font>
      <sz val="8"/>
      <color theme="1"/>
      <name val="Arial Black"/>
      <family val="2"/>
    </font>
    <font>
      <b/>
      <sz val="11"/>
      <color theme="1"/>
      <name val="Arial Narrow"/>
      <family val="2"/>
    </font>
    <font>
      <sz val="11"/>
      <color theme="1"/>
      <name val="Estrangelo Edessa"/>
      <family val="4"/>
    </font>
    <font>
      <sz val="12"/>
      <color theme="1"/>
      <name val="Arial Black"/>
      <family val="2"/>
    </font>
    <font>
      <b/>
      <sz val="12"/>
      <color theme="1"/>
      <name val="Arial Black"/>
      <family val="2"/>
    </font>
    <font>
      <sz val="11"/>
      <color theme="1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2"/>
      <color rgb="FFFFFFFF"/>
      <name val="Calibri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sz val="11"/>
      <color theme="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theme="6" tint="0.79998168889431442"/>
        <bgColor auto="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262626"/>
        <bgColor rgb="FF000000"/>
      </patternFill>
    </fill>
    <fill>
      <patternFill patternType="solid">
        <fgColor rgb="FF0078A2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5" fillId="0" borderId="1" xfId="0" applyFont="1" applyBorder="1"/>
    <xf numFmtId="0" fontId="0" fillId="0" borderId="1" xfId="0" applyBorder="1"/>
    <xf numFmtId="164" fontId="2" fillId="0" borderId="1" xfId="0" applyNumberFormat="1" applyFont="1" applyBorder="1"/>
    <xf numFmtId="0" fontId="0" fillId="4" borderId="1" xfId="0" applyFont="1" applyFill="1" applyBorder="1"/>
    <xf numFmtId="164" fontId="0" fillId="4" borderId="1" xfId="0" applyNumberFormat="1" applyFill="1" applyBorder="1"/>
    <xf numFmtId="4" fontId="0" fillId="4" borderId="1" xfId="0" applyNumberFormat="1" applyFill="1" applyBorder="1"/>
    <xf numFmtId="4" fontId="0" fillId="0" borderId="1" xfId="0" applyNumberFormat="1" applyBorder="1"/>
    <xf numFmtId="164" fontId="0" fillId="0" borderId="1" xfId="0" applyNumberFormat="1" applyBorder="1"/>
    <xf numFmtId="4" fontId="2" fillId="0" borderId="1" xfId="0" applyNumberFormat="1" applyFont="1" applyBorder="1"/>
    <xf numFmtId="43" fontId="0" fillId="4" borderId="1" xfId="1" applyFont="1" applyFill="1" applyBorder="1"/>
    <xf numFmtId="165" fontId="0" fillId="0" borderId="1" xfId="0" applyNumberFormat="1" applyBorder="1"/>
    <xf numFmtId="43" fontId="0" fillId="0" borderId="1" xfId="1" applyFont="1" applyBorder="1"/>
    <xf numFmtId="164" fontId="0" fillId="0" borderId="1" xfId="0" applyNumberFormat="1" applyFill="1" applyBorder="1"/>
    <xf numFmtId="4" fontId="0" fillId="0" borderId="1" xfId="1" applyNumberFormat="1" applyFont="1" applyBorder="1"/>
    <xf numFmtId="43" fontId="2" fillId="0" borderId="1" xfId="1" applyFont="1" applyBorder="1"/>
    <xf numFmtId="3" fontId="0" fillId="0" borderId="1" xfId="0" applyNumberFormat="1" applyBorder="1"/>
    <xf numFmtId="164" fontId="6" fillId="0" borderId="1" xfId="0" applyNumberFormat="1" applyFont="1" applyBorder="1"/>
    <xf numFmtId="164" fontId="0" fillId="0" borderId="1" xfId="1" applyNumberFormat="1" applyFont="1" applyBorder="1"/>
    <xf numFmtId="43" fontId="0" fillId="0" borderId="1" xfId="0" applyNumberFormat="1" applyBorder="1"/>
    <xf numFmtId="166" fontId="0" fillId="0" borderId="1" xfId="0" applyNumberFormat="1" applyBorder="1"/>
    <xf numFmtId="43" fontId="6" fillId="0" borderId="1" xfId="1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5" borderId="4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10" fillId="0" borderId="1" xfId="0" applyFont="1" applyBorder="1"/>
    <xf numFmtId="0" fontId="11" fillId="0" borderId="1" xfId="0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4" fontId="12" fillId="0" borderId="1" xfId="0" applyNumberFormat="1" applyFont="1" applyBorder="1"/>
    <xf numFmtId="0" fontId="0" fillId="6" borderId="1" xfId="0" applyFill="1" applyBorder="1"/>
    <xf numFmtId="0" fontId="9" fillId="6" borderId="1" xfId="0" applyFont="1" applyFill="1" applyBorder="1" applyAlignment="1">
      <alignment horizontal="left"/>
    </xf>
    <xf numFmtId="4" fontId="13" fillId="7" borderId="1" xfId="0" applyNumberFormat="1" applyFont="1" applyFill="1" applyBorder="1"/>
    <xf numFmtId="0" fontId="14" fillId="0" borderId="1" xfId="0" applyFont="1" applyBorder="1" applyAlignment="1">
      <alignment horizontal="left"/>
    </xf>
    <xf numFmtId="4" fontId="12" fillId="0" borderId="0" xfId="0" applyNumberFormat="1" applyFont="1" applyBorder="1"/>
    <xf numFmtId="4" fontId="15" fillId="0" borderId="1" xfId="0" applyNumberFormat="1" applyFont="1" applyBorder="1"/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right"/>
    </xf>
    <xf numFmtId="0" fontId="16" fillId="8" borderId="1" xfId="0" applyFont="1" applyFill="1" applyBorder="1" applyAlignment="1">
      <alignment horizontal="center"/>
    </xf>
    <xf numFmtId="164" fontId="16" fillId="8" borderId="1" xfId="0" applyNumberFormat="1" applyFont="1" applyFill="1" applyBorder="1"/>
    <xf numFmtId="43" fontId="16" fillId="8" borderId="1" xfId="1" applyFont="1" applyFill="1" applyBorder="1"/>
    <xf numFmtId="0" fontId="4" fillId="0" borderId="6" xfId="0" applyFont="1" applyBorder="1" applyAlignment="1">
      <alignment horizont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8" fillId="9" borderId="5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8" fillId="0" borderId="1" xfId="0" applyFont="1" applyBorder="1"/>
    <xf numFmtId="164" fontId="4" fillId="0" borderId="1" xfId="0" applyNumberFormat="1" applyFont="1" applyBorder="1"/>
    <xf numFmtId="0" fontId="3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164" fontId="3" fillId="0" borderId="1" xfId="0" applyNumberFormat="1" applyFont="1" applyBorder="1"/>
    <xf numFmtId="164" fontId="4" fillId="4" borderId="1" xfId="0" applyNumberFormat="1" applyFont="1" applyFill="1" applyBorder="1"/>
    <xf numFmtId="4" fontId="3" fillId="4" borderId="1" xfId="0" applyNumberFormat="1" applyFont="1" applyFill="1" applyBorder="1"/>
    <xf numFmtId="43" fontId="3" fillId="0" borderId="1" xfId="1" applyFont="1" applyBorder="1"/>
    <xf numFmtId="43" fontId="4" fillId="0" borderId="1" xfId="1" applyFont="1" applyBorder="1"/>
    <xf numFmtId="0" fontId="20" fillId="0" borderId="1" xfId="0" applyFont="1" applyBorder="1" applyAlignment="1">
      <alignment wrapText="1"/>
    </xf>
    <xf numFmtId="4" fontId="21" fillId="4" borderId="1" xfId="0" applyNumberFormat="1" applyFont="1" applyFill="1" applyBorder="1"/>
    <xf numFmtId="0" fontId="22" fillId="0" borderId="1" xfId="0" applyFont="1" applyBorder="1" applyAlignment="1">
      <alignment horizontal="center"/>
    </xf>
    <xf numFmtId="164" fontId="23" fillId="0" borderId="1" xfId="0" applyNumberFormat="1" applyFont="1" applyBorder="1"/>
    <xf numFmtId="0" fontId="18" fillId="0" borderId="6" xfId="0" applyFont="1" applyBorder="1" applyAlignment="1">
      <alignment horizontal="center"/>
    </xf>
    <xf numFmtId="0" fontId="24" fillId="9" borderId="4" xfId="0" applyFont="1" applyFill="1" applyBorder="1" applyAlignment="1">
      <alignment horizontal="center" vertical="center" wrapText="1"/>
    </xf>
    <xf numFmtId="0" fontId="24" fillId="10" borderId="4" xfId="0" applyFont="1" applyFill="1" applyBorder="1" applyAlignment="1">
      <alignment horizontal="center" vertical="center" wrapText="1"/>
    </xf>
    <xf numFmtId="0" fontId="24" fillId="11" borderId="4" xfId="0" applyFont="1" applyFill="1" applyBorder="1" applyAlignment="1">
      <alignment horizontal="center" vertical="center" wrapText="1"/>
    </xf>
    <xf numFmtId="0" fontId="25" fillId="9" borderId="5" xfId="0" applyFont="1" applyFill="1" applyBorder="1" applyAlignment="1">
      <alignment horizontal="center" vertical="center" wrapText="1"/>
    </xf>
    <xf numFmtId="0" fontId="25" fillId="10" borderId="5" xfId="0" applyFont="1" applyFill="1" applyBorder="1" applyAlignment="1">
      <alignment horizontal="center" vertical="center" wrapText="1"/>
    </xf>
    <xf numFmtId="0" fontId="25" fillId="11" borderId="5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164" fontId="27" fillId="0" borderId="1" xfId="1" applyNumberFormat="1" applyFont="1" applyBorder="1" applyAlignment="1">
      <alignment vertical="center" wrapText="1"/>
    </xf>
    <xf numFmtId="0" fontId="26" fillId="0" borderId="1" xfId="0" applyFont="1" applyBorder="1" applyAlignment="1">
      <alignment horizontal="right" vertical="center" wrapText="1"/>
    </xf>
    <xf numFmtId="0" fontId="26" fillId="0" borderId="1" xfId="0" applyFont="1" applyBorder="1" applyAlignment="1">
      <alignment horizontal="left" vertical="center" wrapText="1"/>
    </xf>
    <xf numFmtId="164" fontId="25" fillId="0" borderId="1" xfId="1" applyNumberFormat="1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  <xf numFmtId="164" fontId="25" fillId="4" borderId="1" xfId="1" applyNumberFormat="1" applyFont="1" applyFill="1" applyBorder="1" applyAlignment="1">
      <alignment vertical="center" wrapText="1"/>
    </xf>
    <xf numFmtId="0" fontId="25" fillId="6" borderId="1" xfId="0" applyFont="1" applyFill="1" applyBorder="1" applyAlignment="1">
      <alignment vertical="center" wrapText="1"/>
    </xf>
    <xf numFmtId="0" fontId="24" fillId="6" borderId="1" xfId="0" applyFont="1" applyFill="1" applyBorder="1" applyAlignment="1">
      <alignment horizontal="left" vertical="center" wrapText="1"/>
    </xf>
    <xf numFmtId="164" fontId="27" fillId="7" borderId="1" xfId="1" applyNumberFormat="1" applyFont="1" applyFill="1" applyBorder="1" applyAlignment="1">
      <alignment vertical="center" wrapText="1"/>
    </xf>
    <xf numFmtId="4" fontId="15" fillId="0" borderId="1" xfId="0" applyNumberFormat="1" applyFont="1" applyBorder="1" applyAlignment="1">
      <alignment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right" vertical="center" wrapText="1"/>
    </xf>
    <xf numFmtId="0" fontId="28" fillId="8" borderId="1" xfId="0" applyFont="1" applyFill="1" applyBorder="1" applyAlignment="1">
      <alignment horizontal="center" vertical="center" wrapText="1"/>
    </xf>
    <xf numFmtId="164" fontId="29" fillId="8" borderId="1" xfId="1" applyNumberFormat="1" applyFont="1" applyFill="1" applyBorder="1" applyAlignment="1">
      <alignment vertical="center" wrapText="1"/>
    </xf>
    <xf numFmtId="0" fontId="30" fillId="0" borderId="6" xfId="0" applyFont="1" applyBorder="1" applyAlignment="1">
      <alignment horizontal="center"/>
    </xf>
    <xf numFmtId="0" fontId="24" fillId="9" borderId="2" xfId="0" applyFont="1" applyFill="1" applyBorder="1" applyAlignment="1">
      <alignment horizontal="center" vertical="center" wrapText="1"/>
    </xf>
    <xf numFmtId="0" fontId="24" fillId="9" borderId="3" xfId="0" applyFont="1" applyFill="1" applyBorder="1" applyAlignment="1">
      <alignment horizontal="center" vertical="center" wrapText="1"/>
    </xf>
    <xf numFmtId="0" fontId="27" fillId="9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31" fillId="0" borderId="1" xfId="0" applyFont="1" applyBorder="1"/>
    <xf numFmtId="0" fontId="22" fillId="0" borderId="1" xfId="0" applyFont="1" applyBorder="1"/>
    <xf numFmtId="0" fontId="32" fillId="0" borderId="0" xfId="0" applyFont="1"/>
    <xf numFmtId="0" fontId="32" fillId="0" borderId="1" xfId="0" applyFont="1" applyBorder="1"/>
    <xf numFmtId="164" fontId="32" fillId="0" borderId="1" xfId="1" applyNumberFormat="1" applyFont="1" applyBorder="1"/>
    <xf numFmtId="164" fontId="2" fillId="0" borderId="2" xfId="0" applyNumberFormat="1" applyFont="1" applyBorder="1"/>
    <xf numFmtId="0" fontId="25" fillId="0" borderId="1" xfId="0" applyFont="1" applyBorder="1"/>
    <xf numFmtId="164" fontId="0" fillId="12" borderId="1" xfId="0" applyNumberFormat="1" applyFill="1" applyBorder="1"/>
    <xf numFmtId="164" fontId="0" fillId="0" borderId="2" xfId="0" applyNumberFormat="1" applyBorder="1"/>
    <xf numFmtId="164" fontId="0" fillId="0" borderId="7" xfId="0" applyNumberFormat="1" applyFill="1" applyBorder="1"/>
    <xf numFmtId="164" fontId="0" fillId="13" borderId="1" xfId="0" applyNumberFormat="1" applyFill="1" applyBorder="1"/>
    <xf numFmtId="164" fontId="0" fillId="14" borderId="1" xfId="0" applyNumberFormat="1" applyFill="1" applyBorder="1"/>
    <xf numFmtId="164" fontId="0" fillId="4" borderId="2" xfId="0" applyNumberFormat="1" applyFill="1" applyBorder="1"/>
    <xf numFmtId="164" fontId="32" fillId="0" borderId="0" xfId="1" applyNumberFormat="1" applyFont="1"/>
    <xf numFmtId="3" fontId="0" fillId="4" borderId="1" xfId="0" applyNumberFormat="1" applyFill="1" applyBorder="1"/>
    <xf numFmtId="164" fontId="0" fillId="15" borderId="1" xfId="1" applyNumberFormat="1" applyFont="1" applyFill="1" applyBorder="1"/>
    <xf numFmtId="43" fontId="0" fillId="14" borderId="1" xfId="1" applyFont="1" applyFill="1" applyBorder="1"/>
    <xf numFmtId="0" fontId="2" fillId="0" borderId="1" xfId="0" applyFont="1" applyBorder="1"/>
    <xf numFmtId="43" fontId="0" fillId="12" borderId="1" xfId="1" applyFont="1" applyFill="1" applyBorder="1"/>
    <xf numFmtId="164" fontId="2" fillId="0" borderId="1" xfId="1" applyNumberFormat="1" applyFont="1" applyBorder="1"/>
    <xf numFmtId="43" fontId="0" fillId="13" borderId="1" xfId="1" applyFont="1" applyFill="1" applyBorder="1"/>
    <xf numFmtId="0" fontId="20" fillId="0" borderId="1" xfId="0" applyFont="1" applyBorder="1"/>
    <xf numFmtId="164" fontId="4" fillId="0" borderId="2" xfId="0" applyNumberFormat="1" applyFont="1" applyBorder="1"/>
    <xf numFmtId="164" fontId="0" fillId="15" borderId="1" xfId="0" applyNumberFormat="1" applyFill="1" applyBorder="1"/>
    <xf numFmtId="43" fontId="0" fillId="4" borderId="2" xfId="1" applyFont="1" applyFill="1" applyBorder="1"/>
    <xf numFmtId="0" fontId="22" fillId="13" borderId="1" xfId="0" applyFont="1" applyFill="1" applyBorder="1"/>
    <xf numFmtId="0" fontId="33" fillId="0" borderId="1" xfId="0" applyFont="1" applyBorder="1"/>
    <xf numFmtId="0" fontId="33" fillId="13" borderId="1" xfId="0" applyFont="1" applyFill="1" applyBorder="1"/>
    <xf numFmtId="0" fontId="0" fillId="13" borderId="1" xfId="0" applyFont="1" applyFill="1" applyBorder="1"/>
    <xf numFmtId="164" fontId="0" fillId="16" borderId="1" xfId="0" applyNumberFormat="1" applyFill="1" applyBorder="1"/>
    <xf numFmtId="0" fontId="34" fillId="0" borderId="1" xfId="0" applyFont="1" applyBorder="1" applyAlignment="1">
      <alignment horizontal="center"/>
    </xf>
    <xf numFmtId="164" fontId="35" fillId="0" borderId="1" xfId="0" applyNumberFormat="1" applyFont="1" applyBorder="1"/>
    <xf numFmtId="43" fontId="35" fillId="0" borderId="2" xfId="1" applyFont="1" applyBorder="1"/>
    <xf numFmtId="43" fontId="35" fillId="0" borderId="1" xfId="1" applyFont="1" applyBorder="1"/>
    <xf numFmtId="0" fontId="9" fillId="17" borderId="4" xfId="0" applyFont="1" applyFill="1" applyBorder="1" applyAlignment="1">
      <alignment horizontal="center" vertical="center" wrapText="1"/>
    </xf>
    <xf numFmtId="0" fontId="36" fillId="17" borderId="5" xfId="0" applyFont="1" applyFill="1" applyBorder="1" applyAlignment="1">
      <alignment horizontal="center" vertical="center" wrapText="1"/>
    </xf>
    <xf numFmtId="0" fontId="9" fillId="17" borderId="5" xfId="0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11" fillId="0" borderId="1" xfId="0" applyFont="1" applyFill="1" applyBorder="1" applyAlignment="1">
      <alignment horizontal="left"/>
    </xf>
    <xf numFmtId="168" fontId="37" fillId="0" borderId="1" xfId="0" applyNumberFormat="1" applyFont="1" applyFill="1" applyBorder="1"/>
    <xf numFmtId="2" fontId="38" fillId="0" borderId="1" xfId="0" applyNumberFormat="1" applyFont="1" applyFill="1" applyBorder="1"/>
    <xf numFmtId="168" fontId="13" fillId="0" borderId="1" xfId="0" applyNumberFormat="1" applyFont="1" applyFill="1" applyBorder="1"/>
    <xf numFmtId="168" fontId="39" fillId="0" borderId="1" xfId="0" applyNumberFormat="1" applyFont="1" applyFill="1" applyBorder="1"/>
    <xf numFmtId="168" fontId="38" fillId="0" borderId="1" xfId="0" applyNumberFormat="1" applyFont="1" applyFill="1" applyBorder="1"/>
    <xf numFmtId="168" fontId="37" fillId="18" borderId="1" xfId="0" applyNumberFormat="1" applyFont="1" applyFill="1" applyBorder="1"/>
    <xf numFmtId="0" fontId="14" fillId="0" borderId="1" xfId="0" applyFont="1" applyFill="1" applyBorder="1" applyAlignment="1">
      <alignment horizontal="left"/>
    </xf>
    <xf numFmtId="168" fontId="38" fillId="0" borderId="0" xfId="0" applyNumberFormat="1" applyFont="1" applyFill="1" applyBorder="1"/>
    <xf numFmtId="0" fontId="40" fillId="19" borderId="2" xfId="0" applyFont="1" applyFill="1" applyBorder="1" applyAlignment="1">
      <alignment horizontal="center"/>
    </xf>
    <xf numFmtId="0" fontId="40" fillId="19" borderId="3" xfId="0" applyFont="1" applyFill="1" applyBorder="1" applyAlignment="1">
      <alignment horizontal="center"/>
    </xf>
    <xf numFmtId="168" fontId="41" fillId="19" borderId="1" xfId="0" applyNumberFormat="1" applyFont="1" applyFill="1" applyBorder="1"/>
    <xf numFmtId="0" fontId="24" fillId="9" borderId="5" xfId="0" applyFont="1" applyFill="1" applyBorder="1" applyAlignment="1">
      <alignment horizontal="center" vertical="center" wrapText="1"/>
    </xf>
    <xf numFmtId="164" fontId="32" fillId="0" borderId="2" xfId="1" applyNumberFormat="1" applyFont="1" applyBorder="1"/>
    <xf numFmtId="164" fontId="2" fillId="0" borderId="2" xfId="1" applyNumberFormat="1" applyFont="1" applyBorder="1"/>
    <xf numFmtId="164" fontId="0" fillId="4" borderId="0" xfId="0" applyNumberFormat="1" applyFill="1" applyBorder="1"/>
    <xf numFmtId="164" fontId="35" fillId="0" borderId="2" xfId="0" applyNumberFormat="1" applyFont="1" applyBorder="1"/>
    <xf numFmtId="0" fontId="42" fillId="20" borderId="4" xfId="0" applyFont="1" applyFill="1" applyBorder="1" applyAlignment="1">
      <alignment horizontal="center" vertical="center" wrapText="1"/>
    </xf>
    <xf numFmtId="0" fontId="43" fillId="20" borderId="5" xfId="0" applyFont="1" applyFill="1" applyBorder="1" applyAlignment="1">
      <alignment horizontal="center" vertical="center" wrapText="1"/>
    </xf>
    <xf numFmtId="168" fontId="0" fillId="0" borderId="1" xfId="0" applyNumberFormat="1" applyBorder="1"/>
    <xf numFmtId="168" fontId="37" fillId="4" borderId="1" xfId="0" applyNumberFormat="1" applyFont="1" applyFill="1" applyBorder="1"/>
    <xf numFmtId="168" fontId="0" fillId="0" borderId="8" xfId="0" applyNumberForma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FOR%20TRANSITO\000.%20IITTTT%20-%20MOVILIDAD\05.%20Cobro%20Coactivo\Lida\POR%20CUENTAS\2017\02.%20Febrero%202017\cuadre%20por%20cuentas%20Febrer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FOR%20TRANSITO\000.%20IITTTT%20-%20MOVILIDAD\05.%20Cobro%20Coactivo\Lida\POR%20CUENTAS\2017\03.%20Marzo%202017\cuadre%20por%20cuentas%2020170301%20al%202017033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FOR%20TRANSITO\000.%20IITTTT%20-%20MOVILIDAD\05.%20Cobro%20Coactivo\Lida\POR%20CUENTAS\2017\04.%20Abril%202017\cuadre%20por%20cuentas%2020170401%20al%2020170430%20Mayo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FOR%20TRANSITO\000.%20IITTTT%20-%20MOVILIDAD\05.%20Cobro%20Coactivo\Lida\POR%20CUENTAS\2017\05.%20Mayo%202017\cuadre%20por%20cuentas%2020170501%20al%20201705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FOR%20TRANSITO\000.%20IITTTT%20-%20MOVILIDAD\05.%20Cobro%20Coactivo\Lida\POR%20CUENTAS\2017\01.%20Enero%202017\cuadre%20por%20cuentas%2020170101%20al%202017013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FOR%20TRANSITO\000.%20IITTTT%20-%20MOVILIDAD\05.%20Cobro%20Coactivo\Lida\POR%20CUENTAS\2017\06.%20Junio%202017\cuadre%20por%20cuentas%2020170601%20al%2020170630%20UN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FOR%20TRANSITO\000.%20IITTTT%20-%20MOVILIDAD\05.%20Cobro%20Coactivo\Lida\POR%20CUENTAS\2017\07.%20Julio%202017\cuadre%20por%20cuentas%2020170701%20al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e por cuentas 20170201 al "/>
    </sheetNames>
    <sheetDataSet>
      <sheetData sheetId="0" refreshError="1">
        <row r="103">
          <cell r="D103">
            <v>726840</v>
          </cell>
        </row>
        <row r="105">
          <cell r="D105">
            <v>80642</v>
          </cell>
        </row>
        <row r="107">
          <cell r="D107">
            <v>84480991</v>
          </cell>
        </row>
        <row r="110">
          <cell r="D110">
            <v>1114419</v>
          </cell>
        </row>
        <row r="111">
          <cell r="D111">
            <v>41279531</v>
          </cell>
        </row>
        <row r="114">
          <cell r="D114">
            <v>1211410</v>
          </cell>
        </row>
        <row r="116">
          <cell r="D116">
            <v>1378527</v>
          </cell>
        </row>
        <row r="117">
          <cell r="D117">
            <v>7563611</v>
          </cell>
        </row>
        <row r="119">
          <cell r="D119">
            <v>5984824</v>
          </cell>
        </row>
        <row r="126">
          <cell r="D126">
            <v>1674495</v>
          </cell>
        </row>
        <row r="127">
          <cell r="D127">
            <v>330192</v>
          </cell>
        </row>
        <row r="128">
          <cell r="D128">
            <v>11606355</v>
          </cell>
        </row>
        <row r="129">
          <cell r="D129">
            <v>72648514</v>
          </cell>
        </row>
        <row r="130">
          <cell r="D130">
            <v>43016622</v>
          </cell>
        </row>
        <row r="131">
          <cell r="D131">
            <v>58676605</v>
          </cell>
        </row>
        <row r="132">
          <cell r="D132">
            <v>34861389</v>
          </cell>
        </row>
        <row r="134">
          <cell r="D134">
            <v>911160</v>
          </cell>
        </row>
        <row r="136">
          <cell r="D136">
            <v>4791760</v>
          </cell>
        </row>
        <row r="137">
          <cell r="D137">
            <v>16372</v>
          </cell>
        </row>
        <row r="141">
          <cell r="D141">
            <v>8474616</v>
          </cell>
        </row>
        <row r="142">
          <cell r="D142">
            <v>16040634</v>
          </cell>
        </row>
        <row r="144">
          <cell r="D144">
            <v>456257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e por cuentas 20170301 al "/>
    </sheetNames>
    <sheetDataSet>
      <sheetData sheetId="0" refreshError="1">
        <row r="103">
          <cell r="D103">
            <v>759144</v>
          </cell>
        </row>
        <row r="107">
          <cell r="D107">
            <v>91208960</v>
          </cell>
        </row>
        <row r="110">
          <cell r="D110">
            <v>1259782</v>
          </cell>
        </row>
        <row r="111">
          <cell r="D111">
            <v>41958241</v>
          </cell>
        </row>
        <row r="115">
          <cell r="D115">
            <v>1237745</v>
          </cell>
        </row>
        <row r="117">
          <cell r="D117">
            <v>2850703</v>
          </cell>
        </row>
        <row r="118">
          <cell r="D118">
            <v>11198564</v>
          </cell>
        </row>
        <row r="120">
          <cell r="D120">
            <v>7856853</v>
          </cell>
        </row>
        <row r="126">
          <cell r="D126">
            <v>163720</v>
          </cell>
        </row>
        <row r="127">
          <cell r="D127">
            <v>6363081</v>
          </cell>
        </row>
        <row r="128">
          <cell r="D128">
            <v>715416</v>
          </cell>
        </row>
        <row r="129">
          <cell r="D129">
            <v>26530753</v>
          </cell>
        </row>
        <row r="130">
          <cell r="D130">
            <v>98077252</v>
          </cell>
        </row>
        <row r="131">
          <cell r="D131">
            <v>63089237</v>
          </cell>
        </row>
        <row r="132">
          <cell r="D132">
            <v>131515666</v>
          </cell>
        </row>
        <row r="133">
          <cell r="D133">
            <v>79292369</v>
          </cell>
        </row>
        <row r="135">
          <cell r="D135">
            <v>85211</v>
          </cell>
        </row>
        <row r="136">
          <cell r="D136">
            <v>951656</v>
          </cell>
        </row>
        <row r="138">
          <cell r="D138">
            <v>9960400</v>
          </cell>
        </row>
        <row r="143">
          <cell r="D143">
            <v>4924935</v>
          </cell>
        </row>
        <row r="144">
          <cell r="D144">
            <v>17365464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e por cuentas 20170401 al "/>
    </sheetNames>
    <sheetDataSet>
      <sheetData sheetId="0" refreshError="1">
        <row r="103">
          <cell r="D103">
            <v>662232</v>
          </cell>
        </row>
        <row r="105">
          <cell r="D105">
            <v>80642</v>
          </cell>
        </row>
        <row r="107">
          <cell r="D107">
            <v>86613097</v>
          </cell>
        </row>
        <row r="110">
          <cell r="D110">
            <v>839904</v>
          </cell>
        </row>
        <row r="111">
          <cell r="D111">
            <v>28002071</v>
          </cell>
        </row>
        <row r="115">
          <cell r="D115">
            <v>1079735</v>
          </cell>
        </row>
        <row r="117">
          <cell r="D117">
            <v>1363543</v>
          </cell>
        </row>
        <row r="118">
          <cell r="D118">
            <v>8175667</v>
          </cell>
        </row>
        <row r="120">
          <cell r="D120">
            <v>6285424</v>
          </cell>
        </row>
        <row r="127">
          <cell r="D127">
            <v>4800219</v>
          </cell>
        </row>
        <row r="128">
          <cell r="D128">
            <v>348536</v>
          </cell>
        </row>
        <row r="129">
          <cell r="D129">
            <v>27440896</v>
          </cell>
        </row>
        <row r="130">
          <cell r="D130">
            <v>68372059</v>
          </cell>
        </row>
        <row r="131">
          <cell r="D131">
            <v>39472332</v>
          </cell>
        </row>
        <row r="132">
          <cell r="D132">
            <v>129772549</v>
          </cell>
        </row>
        <row r="133">
          <cell r="D133">
            <v>75945247</v>
          </cell>
        </row>
        <row r="135">
          <cell r="D135">
            <v>36519</v>
          </cell>
        </row>
        <row r="136">
          <cell r="D136">
            <v>830168</v>
          </cell>
        </row>
        <row r="138">
          <cell r="D138">
            <v>9852720</v>
          </cell>
        </row>
        <row r="139">
          <cell r="D139">
            <v>16372</v>
          </cell>
        </row>
        <row r="143">
          <cell r="D143">
            <v>1228482</v>
          </cell>
        </row>
        <row r="144">
          <cell r="D144">
            <v>14613894</v>
          </cell>
        </row>
        <row r="146">
          <cell r="D146">
            <v>790527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e por cuentas 20170501 al "/>
    </sheetNames>
    <sheetDataSet>
      <sheetData sheetId="0" refreshError="1">
        <row r="103">
          <cell r="D103">
            <v>662232</v>
          </cell>
        </row>
        <row r="107">
          <cell r="D107">
            <v>78949809</v>
          </cell>
        </row>
        <row r="110">
          <cell r="D110">
            <v>1001424</v>
          </cell>
        </row>
        <row r="111">
          <cell r="D111">
            <v>32378934</v>
          </cell>
        </row>
        <row r="115">
          <cell r="D115">
            <v>1079735</v>
          </cell>
        </row>
        <row r="117">
          <cell r="D117">
            <v>1947920</v>
          </cell>
        </row>
        <row r="118">
          <cell r="D118">
            <v>6883478</v>
          </cell>
        </row>
        <row r="120">
          <cell r="D120">
            <v>5940423</v>
          </cell>
        </row>
        <row r="127">
          <cell r="D127">
            <v>1748917</v>
          </cell>
        </row>
        <row r="128">
          <cell r="D128">
            <v>495288</v>
          </cell>
        </row>
        <row r="129">
          <cell r="D129">
            <v>28363594</v>
          </cell>
        </row>
        <row r="130">
          <cell r="D130">
            <v>68428433</v>
          </cell>
        </row>
        <row r="131">
          <cell r="D131">
            <v>40400488</v>
          </cell>
        </row>
        <row r="132">
          <cell r="D132">
            <v>102501266</v>
          </cell>
        </row>
        <row r="133">
          <cell r="D133">
            <v>68968892</v>
          </cell>
        </row>
        <row r="135">
          <cell r="D135">
            <v>36519</v>
          </cell>
        </row>
        <row r="136">
          <cell r="D136">
            <v>830168</v>
          </cell>
        </row>
        <row r="138">
          <cell r="D138">
            <v>5545520</v>
          </cell>
        </row>
        <row r="139">
          <cell r="D139">
            <v>16372</v>
          </cell>
        </row>
        <row r="143">
          <cell r="D143">
            <v>4234617</v>
          </cell>
        </row>
        <row r="144">
          <cell r="D144">
            <v>19138698</v>
          </cell>
        </row>
        <row r="146">
          <cell r="D146">
            <v>1887193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e por cuentas 20170101 al "/>
    </sheetNames>
    <sheetDataSet>
      <sheetData sheetId="0" refreshError="1">
        <row r="109">
          <cell r="D109">
            <v>923412</v>
          </cell>
        </row>
        <row r="111">
          <cell r="D111">
            <v>76257</v>
          </cell>
        </row>
        <row r="116">
          <cell r="D116">
            <v>1143372</v>
          </cell>
        </row>
        <row r="117">
          <cell r="D117">
            <v>34191551</v>
          </cell>
        </row>
        <row r="121">
          <cell r="D121">
            <v>1505636</v>
          </cell>
        </row>
        <row r="123">
          <cell r="D123">
            <v>1998832</v>
          </cell>
        </row>
        <row r="124">
          <cell r="D124">
            <v>5136620</v>
          </cell>
        </row>
        <row r="126">
          <cell r="D126">
            <v>4750549</v>
          </cell>
        </row>
        <row r="132">
          <cell r="D132">
            <v>158380</v>
          </cell>
        </row>
        <row r="133">
          <cell r="D133">
            <v>2189046</v>
          </cell>
        </row>
        <row r="134">
          <cell r="D134">
            <v>456007</v>
          </cell>
        </row>
        <row r="135">
          <cell r="D135">
            <v>8922448</v>
          </cell>
        </row>
        <row r="136">
          <cell r="D136">
            <v>65545371</v>
          </cell>
        </row>
        <row r="137">
          <cell r="D137">
            <v>43328211</v>
          </cell>
        </row>
        <row r="138">
          <cell r="D138">
            <v>45430454</v>
          </cell>
        </row>
        <row r="139">
          <cell r="D139">
            <v>27327964</v>
          </cell>
        </row>
        <row r="141">
          <cell r="D141">
            <v>21562</v>
          </cell>
        </row>
        <row r="142">
          <cell r="D142">
            <v>1157628</v>
          </cell>
        </row>
        <row r="144">
          <cell r="D144">
            <v>3404112</v>
          </cell>
        </row>
        <row r="145">
          <cell r="D145">
            <v>0</v>
          </cell>
        </row>
        <row r="149">
          <cell r="D149">
            <v>3874514</v>
          </cell>
        </row>
        <row r="150">
          <cell r="D150">
            <v>16918630</v>
          </cell>
        </row>
        <row r="152">
          <cell r="D152">
            <v>229348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e por cuentas 20170601 al "/>
    </sheetNames>
    <sheetDataSet>
      <sheetData sheetId="0" refreshError="1">
        <row r="103">
          <cell r="D103">
            <v>791448</v>
          </cell>
        </row>
        <row r="129">
          <cell r="D129">
            <v>14657945</v>
          </cell>
        </row>
        <row r="130">
          <cell r="D130">
            <v>64763607</v>
          </cell>
        </row>
        <row r="131">
          <cell r="D131">
            <v>42685938</v>
          </cell>
        </row>
        <row r="132">
          <cell r="D132">
            <v>34823042</v>
          </cell>
        </row>
        <row r="133">
          <cell r="D133">
            <v>30350033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e por cuentas 20170701 al "/>
    </sheetNames>
    <sheetDataSet>
      <sheetData sheetId="0" refreshError="1">
        <row r="119">
          <cell r="D119">
            <v>565320</v>
          </cell>
        </row>
        <row r="149">
          <cell r="D149">
            <v>32166646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6"/>
  <sheetViews>
    <sheetView workbookViewId="0">
      <selection activeCell="I11" sqref="I11"/>
    </sheetView>
  </sheetViews>
  <sheetFormatPr baseColWidth="10" defaultRowHeight="15" x14ac:dyDescent="0.25"/>
  <sheetData>
    <row r="1" spans="1:20" ht="15.75" x14ac:dyDescent="0.25">
      <c r="A1" s="1" t="s">
        <v>0</v>
      </c>
      <c r="B1" s="1" t="s">
        <v>1</v>
      </c>
      <c r="C1" s="2" t="s">
        <v>2</v>
      </c>
      <c r="D1" s="3" t="s">
        <v>3</v>
      </c>
      <c r="E1" s="4"/>
      <c r="F1" s="2" t="s">
        <v>4</v>
      </c>
      <c r="G1" s="2" t="s">
        <v>5</v>
      </c>
      <c r="H1" s="2" t="s">
        <v>6</v>
      </c>
      <c r="I1" s="2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2" t="s">
        <v>18</v>
      </c>
    </row>
    <row r="2" spans="1:20" ht="15.75" x14ac:dyDescent="0.25">
      <c r="A2" s="1"/>
      <c r="B2" s="1"/>
      <c r="C2" s="2"/>
      <c r="D2" s="6" t="s">
        <v>19</v>
      </c>
      <c r="E2" s="6" t="s">
        <v>20</v>
      </c>
      <c r="F2" s="2"/>
      <c r="G2" s="2"/>
      <c r="H2" s="2"/>
      <c r="I2" s="2"/>
      <c r="J2" s="7"/>
      <c r="K2" s="7"/>
      <c r="L2" s="7"/>
      <c r="M2" s="7"/>
      <c r="N2" s="7"/>
      <c r="O2" s="7"/>
      <c r="P2" s="7"/>
      <c r="Q2" s="7"/>
      <c r="R2" s="7"/>
      <c r="S2" s="7"/>
      <c r="T2" s="2"/>
    </row>
    <row r="3" spans="1:20" ht="18.75" x14ac:dyDescent="0.3">
      <c r="A3" s="8"/>
      <c r="B3" s="9" t="s">
        <v>21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x14ac:dyDescent="0.25">
      <c r="A4" s="8"/>
      <c r="B4" s="8" t="s">
        <v>22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x14ac:dyDescent="0.25">
      <c r="A5" s="8">
        <v>30501</v>
      </c>
      <c r="B5" s="8" t="s">
        <v>23</v>
      </c>
      <c r="C5" s="11">
        <f t="shared" ref="C5:S5" si="0">SUM(C6:C16)</f>
        <v>3638000000</v>
      </c>
      <c r="D5" s="11">
        <f t="shared" si="0"/>
        <v>240183031</v>
      </c>
      <c r="E5" s="11">
        <f t="shared" si="0"/>
        <v>164150630</v>
      </c>
      <c r="F5" s="11">
        <f t="shared" si="0"/>
        <v>0</v>
      </c>
      <c r="G5" s="11">
        <f t="shared" si="0"/>
        <v>3714032401</v>
      </c>
      <c r="H5" s="11">
        <f t="shared" si="0"/>
        <v>210086393</v>
      </c>
      <c r="I5" s="11">
        <f t="shared" si="0"/>
        <v>239798462</v>
      </c>
      <c r="J5" s="11">
        <f t="shared" si="0"/>
        <v>262242660</v>
      </c>
      <c r="K5" s="11">
        <f t="shared" si="0"/>
        <v>244907184</v>
      </c>
      <c r="L5" s="11">
        <f t="shared" si="0"/>
        <v>276441611</v>
      </c>
      <c r="M5" s="11">
        <f t="shared" si="0"/>
        <v>240562166</v>
      </c>
      <c r="N5" s="11">
        <f t="shared" si="0"/>
        <v>489036751</v>
      </c>
      <c r="O5" s="11">
        <f t="shared" si="0"/>
        <v>291170512</v>
      </c>
      <c r="P5" s="11">
        <f t="shared" si="0"/>
        <v>287602399</v>
      </c>
      <c r="Q5" s="11">
        <f t="shared" si="0"/>
        <v>290242751</v>
      </c>
      <c r="R5" s="11">
        <f t="shared" si="0"/>
        <v>288172397</v>
      </c>
      <c r="S5" s="11">
        <f t="shared" si="0"/>
        <v>554473008</v>
      </c>
      <c r="T5" s="11">
        <f>SUM(T6:T16)</f>
        <v>3674736294</v>
      </c>
    </row>
    <row r="6" spans="1:20" x14ac:dyDescent="0.25">
      <c r="A6" s="8">
        <v>30501180401</v>
      </c>
      <c r="B6" s="12" t="s">
        <v>24</v>
      </c>
      <c r="C6" s="13">
        <v>2725000000</v>
      </c>
      <c r="D6" s="14">
        <f>49089101+30000000</f>
        <v>79089101</v>
      </c>
      <c r="E6" s="14">
        <v>20000000</v>
      </c>
      <c r="F6" s="14"/>
      <c r="G6" s="14">
        <f t="shared" ref="G6:G16" si="1">C6+D6-E6+F6</f>
        <v>2784089101</v>
      </c>
      <c r="H6" s="14">
        <v>172548337</v>
      </c>
      <c r="I6" s="14">
        <v>219114451</v>
      </c>
      <c r="J6" s="14">
        <v>209720925</v>
      </c>
      <c r="K6" s="14">
        <v>210581332</v>
      </c>
      <c r="L6" s="14">
        <v>224711124</v>
      </c>
      <c r="M6" s="14">
        <v>206118306</v>
      </c>
      <c r="N6" s="14">
        <v>320634241</v>
      </c>
      <c r="O6" s="14">
        <v>242182390</v>
      </c>
      <c r="P6" s="14">
        <v>246410805</v>
      </c>
      <c r="Q6" s="14">
        <v>243066387</v>
      </c>
      <c r="R6" s="14">
        <v>244525114</v>
      </c>
      <c r="S6" s="14">
        <v>243789755</v>
      </c>
      <c r="T6" s="15">
        <f>H6+I6+J6+K6+L6+M6+N6+O6+P6+Q6+R6+S6</f>
        <v>2783403167</v>
      </c>
    </row>
    <row r="7" spans="1:20" x14ac:dyDescent="0.25">
      <c r="A7" s="8">
        <v>30501180402</v>
      </c>
      <c r="B7" s="8" t="s">
        <v>25</v>
      </c>
      <c r="C7" s="16">
        <v>220000000</v>
      </c>
      <c r="D7" s="15">
        <f>13767610+14000000</f>
        <v>27767610</v>
      </c>
      <c r="E7" s="14"/>
      <c r="F7" s="14"/>
      <c r="G7" s="14">
        <f t="shared" si="1"/>
        <v>247767610</v>
      </c>
      <c r="H7" s="14"/>
      <c r="I7" s="14"/>
      <c r="J7" s="14"/>
      <c r="K7" s="14"/>
      <c r="L7" s="14"/>
      <c r="M7" s="14">
        <v>0</v>
      </c>
      <c r="N7" s="14"/>
      <c r="O7" s="14"/>
      <c r="P7" s="14"/>
      <c r="Q7" s="14"/>
      <c r="R7" s="14"/>
      <c r="S7" s="14">
        <v>247748216</v>
      </c>
      <c r="T7" s="15">
        <f t="shared" ref="T7:T28" si="2">H7+I7+J7+K7+L7+M7+N7+O7+P7+Q7+R7+S7</f>
        <v>247748216</v>
      </c>
    </row>
    <row r="8" spans="1:20" x14ac:dyDescent="0.25">
      <c r="A8" s="8">
        <v>30501180403</v>
      </c>
      <c r="B8" s="8" t="s">
        <v>26</v>
      </c>
      <c r="C8" s="16">
        <v>127000000</v>
      </c>
      <c r="D8" s="15"/>
      <c r="E8" s="14">
        <f>10520638+20000000</f>
        <v>30520638</v>
      </c>
      <c r="F8" s="14"/>
      <c r="G8" s="14">
        <f t="shared" si="1"/>
        <v>96479362</v>
      </c>
      <c r="H8" s="14">
        <v>8512895</v>
      </c>
      <c r="I8" s="14">
        <v>4985765</v>
      </c>
      <c r="J8" s="14">
        <v>8522574</v>
      </c>
      <c r="K8" s="14">
        <v>5046277</v>
      </c>
      <c r="L8" s="14">
        <v>12805377</v>
      </c>
      <c r="M8" s="14">
        <v>0</v>
      </c>
      <c r="N8" s="14"/>
      <c r="O8" s="14">
        <v>11728154</v>
      </c>
      <c r="P8" s="14">
        <v>11796715</v>
      </c>
      <c r="Q8" s="14">
        <v>9129194</v>
      </c>
      <c r="R8" s="14">
        <v>8483494</v>
      </c>
      <c r="S8" s="14">
        <v>13608895</v>
      </c>
      <c r="T8" s="15">
        <f t="shared" si="2"/>
        <v>94619340</v>
      </c>
    </row>
    <row r="9" spans="1:20" x14ac:dyDescent="0.25">
      <c r="A9" s="8">
        <v>30501180404</v>
      </c>
      <c r="B9" s="8" t="s">
        <v>27</v>
      </c>
      <c r="C9" s="16">
        <v>15000000</v>
      </c>
      <c r="D9" s="15"/>
      <c r="E9" s="14">
        <v>10000000</v>
      </c>
      <c r="F9" s="14"/>
      <c r="G9" s="14">
        <f t="shared" si="1"/>
        <v>5000000</v>
      </c>
      <c r="H9" s="14">
        <v>4816733</v>
      </c>
      <c r="I9" s="14"/>
      <c r="J9" s="14"/>
      <c r="K9" s="14"/>
      <c r="L9" s="14"/>
      <c r="M9" s="14">
        <v>0</v>
      </c>
      <c r="N9" s="14"/>
      <c r="O9" s="14"/>
      <c r="P9" s="14"/>
      <c r="Q9" s="14"/>
      <c r="R9" s="14"/>
      <c r="S9" s="14"/>
      <c r="T9" s="15">
        <f t="shared" si="2"/>
        <v>4816733</v>
      </c>
    </row>
    <row r="10" spans="1:20" x14ac:dyDescent="0.25">
      <c r="A10" s="8">
        <v>30501180405</v>
      </c>
      <c r="B10" s="8" t="s">
        <v>28</v>
      </c>
      <c r="C10" s="16">
        <v>5000000</v>
      </c>
      <c r="D10" s="15"/>
      <c r="E10" s="14">
        <v>2500000</v>
      </c>
      <c r="F10" s="14"/>
      <c r="G10" s="14">
        <f t="shared" si="1"/>
        <v>2500000</v>
      </c>
      <c r="H10" s="14">
        <v>132090</v>
      </c>
      <c r="I10" s="14">
        <v>155400</v>
      </c>
      <c r="J10" s="14">
        <v>77700</v>
      </c>
      <c r="K10" s="14">
        <v>145040</v>
      </c>
      <c r="L10" s="14">
        <v>155400</v>
      </c>
      <c r="M10" s="14">
        <v>155400</v>
      </c>
      <c r="N10" s="14">
        <v>77700</v>
      </c>
      <c r="O10" s="14">
        <v>155400</v>
      </c>
      <c r="P10" s="14">
        <v>155400</v>
      </c>
      <c r="Q10" s="14">
        <v>155400</v>
      </c>
      <c r="R10" s="14">
        <v>155400</v>
      </c>
      <c r="S10" s="14">
        <v>155400</v>
      </c>
      <c r="T10" s="15">
        <f t="shared" si="2"/>
        <v>1675730</v>
      </c>
    </row>
    <row r="11" spans="1:20" x14ac:dyDescent="0.25">
      <c r="A11" s="8">
        <v>30501180406</v>
      </c>
      <c r="B11" s="8" t="s">
        <v>29</v>
      </c>
      <c r="C11" s="16">
        <v>22000000</v>
      </c>
      <c r="D11" s="15">
        <f>10000000+5000000</f>
        <v>15000000</v>
      </c>
      <c r="E11" s="14"/>
      <c r="F11" s="14"/>
      <c r="G11" s="14">
        <f t="shared" si="1"/>
        <v>37000000</v>
      </c>
      <c r="H11" s="14"/>
      <c r="I11" s="14"/>
      <c r="J11" s="14"/>
      <c r="K11" s="14"/>
      <c r="L11" s="14">
        <v>6368486</v>
      </c>
      <c r="M11" s="14">
        <v>0</v>
      </c>
      <c r="N11" s="14">
        <f>1764860</f>
        <v>1764860</v>
      </c>
      <c r="O11" s="14"/>
      <c r="P11" s="14"/>
      <c r="Q11" s="14"/>
      <c r="R11" s="14"/>
      <c r="S11" s="14"/>
      <c r="T11" s="15">
        <f t="shared" si="2"/>
        <v>8133346</v>
      </c>
    </row>
    <row r="12" spans="1:20" x14ac:dyDescent="0.25">
      <c r="A12" s="8">
        <v>30501180407</v>
      </c>
      <c r="B12" s="8" t="s">
        <v>30</v>
      </c>
      <c r="C12" s="16">
        <v>1000000</v>
      </c>
      <c r="D12" s="15"/>
      <c r="E12" s="14"/>
      <c r="F12" s="14"/>
      <c r="G12" s="14">
        <f t="shared" si="1"/>
        <v>1000000</v>
      </c>
      <c r="H12" s="14"/>
      <c r="I12" s="14"/>
      <c r="J12" s="14"/>
      <c r="K12" s="14"/>
      <c r="L12" s="14"/>
      <c r="M12" s="14">
        <v>0</v>
      </c>
      <c r="N12" s="14"/>
      <c r="O12" s="14"/>
      <c r="P12" s="14"/>
      <c r="Q12" s="14"/>
      <c r="R12" s="14"/>
      <c r="S12" s="14"/>
      <c r="T12" s="15">
        <f t="shared" si="2"/>
        <v>0</v>
      </c>
    </row>
    <row r="13" spans="1:20" x14ac:dyDescent="0.25">
      <c r="A13" s="8">
        <v>30501180408</v>
      </c>
      <c r="B13" s="8" t="s">
        <v>31</v>
      </c>
      <c r="C13" s="16">
        <v>300000000</v>
      </c>
      <c r="D13" s="15">
        <f>100000000+8500000</f>
        <v>108500000</v>
      </c>
      <c r="E13" s="14">
        <v>57860284</v>
      </c>
      <c r="F13" s="14"/>
      <c r="G13" s="14">
        <f t="shared" si="1"/>
        <v>350639716</v>
      </c>
      <c r="H13" s="14">
        <v>20397317</v>
      </c>
      <c r="I13" s="14">
        <v>14967090</v>
      </c>
      <c r="J13" s="14">
        <v>39225820</v>
      </c>
      <c r="K13" s="14">
        <v>23874127</v>
      </c>
      <c r="L13" s="14">
        <v>26894752</v>
      </c>
      <c r="M13" s="14">
        <v>32338910</v>
      </c>
      <c r="N13" s="14">
        <f>16485584+27720090</f>
        <v>44205674</v>
      </c>
      <c r="O13" s="14">
        <v>29526262</v>
      </c>
      <c r="P13" s="14">
        <v>24011163</v>
      </c>
      <c r="Q13" s="14">
        <v>31515279</v>
      </c>
      <c r="R13" s="14">
        <v>30856627</v>
      </c>
      <c r="S13" s="14">
        <v>32594917</v>
      </c>
      <c r="T13" s="15">
        <f t="shared" si="2"/>
        <v>350407938</v>
      </c>
    </row>
    <row r="14" spans="1:20" x14ac:dyDescent="0.25">
      <c r="A14" s="8">
        <v>30501180409</v>
      </c>
      <c r="B14" s="8" t="s">
        <v>32</v>
      </c>
      <c r="C14" s="16">
        <v>110000000</v>
      </c>
      <c r="D14" s="15">
        <v>6076320</v>
      </c>
      <c r="E14" s="14"/>
      <c r="F14" s="14"/>
      <c r="G14" s="14">
        <f t="shared" si="1"/>
        <v>116076320</v>
      </c>
      <c r="H14" s="14"/>
      <c r="I14" s="14"/>
      <c r="J14" s="14"/>
      <c r="K14" s="14"/>
      <c r="L14" s="14"/>
      <c r="M14" s="14">
        <v>0</v>
      </c>
      <c r="N14" s="14">
        <v>115984687</v>
      </c>
      <c r="O14" s="14">
        <v>0</v>
      </c>
      <c r="P14" s="14"/>
      <c r="Q14" s="14"/>
      <c r="R14" s="14"/>
      <c r="S14" s="14"/>
      <c r="T14" s="15">
        <f t="shared" si="2"/>
        <v>115984687</v>
      </c>
    </row>
    <row r="15" spans="1:20" x14ac:dyDescent="0.25">
      <c r="A15" s="8">
        <v>30501180410</v>
      </c>
      <c r="B15" s="8" t="s">
        <v>33</v>
      </c>
      <c r="C15" s="16">
        <v>95000000</v>
      </c>
      <c r="D15" s="15"/>
      <c r="E15" s="14">
        <f>14089068+7410190+15000000</f>
        <v>36499258</v>
      </c>
      <c r="F15" s="14"/>
      <c r="G15" s="14">
        <f t="shared" si="1"/>
        <v>58500742</v>
      </c>
      <c r="H15" s="14">
        <v>2848561</v>
      </c>
      <c r="I15" s="14"/>
      <c r="J15" s="14">
        <v>2447063</v>
      </c>
      <c r="K15" s="14">
        <v>4632692</v>
      </c>
      <c r="L15" s="14">
        <v>3899100</v>
      </c>
      <c r="M15" s="14">
        <v>1949550</v>
      </c>
      <c r="N15" s="14">
        <v>5188501</v>
      </c>
      <c r="O15" s="14">
        <v>6119608</v>
      </c>
      <c r="P15" s="14">
        <v>3760134</v>
      </c>
      <c r="Q15" s="14">
        <v>5240965</v>
      </c>
      <c r="R15" s="14">
        <v>3094196</v>
      </c>
      <c r="S15" s="14">
        <v>13826759</v>
      </c>
      <c r="T15" s="15">
        <f t="shared" si="2"/>
        <v>53007129</v>
      </c>
    </row>
    <row r="16" spans="1:20" x14ac:dyDescent="0.25">
      <c r="A16" s="8">
        <v>30501180411</v>
      </c>
      <c r="B16" s="8" t="s">
        <v>34</v>
      </c>
      <c r="C16" s="16">
        <v>18000000</v>
      </c>
      <c r="D16" s="15">
        <f>3000000+750000</f>
        <v>3750000</v>
      </c>
      <c r="E16" s="14">
        <v>6770450</v>
      </c>
      <c r="F16" s="14"/>
      <c r="G16" s="14">
        <f t="shared" si="1"/>
        <v>14979550</v>
      </c>
      <c r="H16" s="14">
        <v>830460</v>
      </c>
      <c r="I16" s="14">
        <v>575756</v>
      </c>
      <c r="J16" s="14">
        <v>2248578</v>
      </c>
      <c r="K16" s="14">
        <v>627716</v>
      </c>
      <c r="L16" s="14">
        <v>1607372</v>
      </c>
      <c r="M16" s="14">
        <v>0</v>
      </c>
      <c r="N16" s="14">
        <v>1181088</v>
      </c>
      <c r="O16" s="14">
        <v>1458698</v>
      </c>
      <c r="P16" s="14">
        <v>1468182</v>
      </c>
      <c r="Q16" s="14">
        <v>1135526</v>
      </c>
      <c r="R16" s="14">
        <v>1057566</v>
      </c>
      <c r="S16" s="14">
        <v>2749066</v>
      </c>
      <c r="T16" s="15">
        <f t="shared" si="2"/>
        <v>14940008</v>
      </c>
    </row>
    <row r="17" spans="1:20" x14ac:dyDescent="0.25">
      <c r="A17" s="8"/>
      <c r="B17" s="8" t="s">
        <v>35</v>
      </c>
      <c r="C17" s="11">
        <f t="shared" ref="C17:T17" si="3">SUM(C18:C21)</f>
        <v>1101000000</v>
      </c>
      <c r="D17" s="17">
        <f t="shared" si="3"/>
        <v>457241387</v>
      </c>
      <c r="E17" s="11">
        <f t="shared" si="3"/>
        <v>0</v>
      </c>
      <c r="F17" s="11">
        <f t="shared" si="3"/>
        <v>28366002</v>
      </c>
      <c r="G17" s="11">
        <f t="shared" si="3"/>
        <v>1586607389</v>
      </c>
      <c r="H17" s="11">
        <f t="shared" si="3"/>
        <v>95735137</v>
      </c>
      <c r="I17" s="11">
        <f t="shared" si="3"/>
        <v>128392118</v>
      </c>
      <c r="J17" s="11">
        <f t="shared" si="3"/>
        <v>877560590</v>
      </c>
      <c r="K17" s="11">
        <f t="shared" si="3"/>
        <v>50615000</v>
      </c>
      <c r="L17" s="11">
        <f t="shared" si="3"/>
        <v>13600000</v>
      </c>
      <c r="M17" s="11">
        <f t="shared" si="3"/>
        <v>34766002</v>
      </c>
      <c r="N17" s="11">
        <f t="shared" si="3"/>
        <v>0</v>
      </c>
      <c r="O17" s="11">
        <f t="shared" si="3"/>
        <v>124533350</v>
      </c>
      <c r="P17" s="11">
        <f t="shared" si="3"/>
        <v>90000000</v>
      </c>
      <c r="Q17" s="11">
        <f t="shared" si="3"/>
        <v>0</v>
      </c>
      <c r="R17" s="11">
        <f t="shared" si="3"/>
        <v>96380207</v>
      </c>
      <c r="S17" s="11">
        <f t="shared" si="3"/>
        <v>2000000</v>
      </c>
      <c r="T17" s="11">
        <f t="shared" si="3"/>
        <v>1513582404</v>
      </c>
    </row>
    <row r="18" spans="1:20" x14ac:dyDescent="0.25">
      <c r="A18" s="8">
        <v>30501180412</v>
      </c>
      <c r="B18" s="8" t="s">
        <v>36</v>
      </c>
      <c r="C18" s="16">
        <v>500000000</v>
      </c>
      <c r="D18" s="15">
        <f>66414980+74431695</f>
        <v>140846675</v>
      </c>
      <c r="E18" s="13"/>
      <c r="F18" s="18">
        <v>28366002</v>
      </c>
      <c r="G18" s="14">
        <f>C18+D18-E18+F18</f>
        <v>669212677</v>
      </c>
      <c r="H18" s="16">
        <v>89366665</v>
      </c>
      <c r="I18" s="13">
        <v>126800000</v>
      </c>
      <c r="J18" s="13">
        <v>129600000</v>
      </c>
      <c r="K18" s="13">
        <v>50615000</v>
      </c>
      <c r="L18" s="13">
        <v>13600000</v>
      </c>
      <c r="M18" s="13">
        <f>6400000+28366002</f>
        <v>34766002</v>
      </c>
      <c r="N18" s="13">
        <v>0</v>
      </c>
      <c r="O18" s="13">
        <v>124533350</v>
      </c>
      <c r="P18" s="13"/>
      <c r="Q18" s="13"/>
      <c r="R18" s="13">
        <v>95831660</v>
      </c>
      <c r="S18" s="13">
        <v>2000000</v>
      </c>
      <c r="T18" s="15">
        <f t="shared" si="2"/>
        <v>667112677</v>
      </c>
    </row>
    <row r="19" spans="1:20" x14ac:dyDescent="0.25">
      <c r="A19" s="8">
        <v>30501180413</v>
      </c>
      <c r="B19" s="10" t="s">
        <v>37</v>
      </c>
      <c r="C19" s="16">
        <v>200000000</v>
      </c>
      <c r="D19" s="15">
        <f>32855632+90000000</f>
        <v>122855632</v>
      </c>
      <c r="E19" s="14"/>
      <c r="F19" s="14"/>
      <c r="G19" s="14">
        <f>C19+D19-E19+F19</f>
        <v>322855632</v>
      </c>
      <c r="H19" s="14">
        <v>6368472</v>
      </c>
      <c r="I19" s="14">
        <v>1592118</v>
      </c>
      <c r="J19" s="14">
        <v>220079291</v>
      </c>
      <c r="K19" s="14"/>
      <c r="L19" s="14"/>
      <c r="M19" s="14"/>
      <c r="N19" s="14"/>
      <c r="O19" s="14"/>
      <c r="P19" s="14">
        <v>90000000</v>
      </c>
      <c r="Q19" s="14"/>
      <c r="R19" s="14"/>
      <c r="S19" s="14"/>
      <c r="T19" s="15">
        <f t="shared" si="2"/>
        <v>318039881</v>
      </c>
    </row>
    <row r="20" spans="1:20" x14ac:dyDescent="0.25">
      <c r="A20" s="8">
        <v>30501180414</v>
      </c>
      <c r="B20" s="8" t="s">
        <v>38</v>
      </c>
      <c r="C20" s="16">
        <v>400000000</v>
      </c>
      <c r="D20" s="15">
        <v>193539080</v>
      </c>
      <c r="E20" s="14"/>
      <c r="F20" s="14"/>
      <c r="G20" s="14">
        <f>C20+D20-E20+F20</f>
        <v>593539080</v>
      </c>
      <c r="H20" s="14"/>
      <c r="I20" s="14"/>
      <c r="J20" s="14">
        <v>527881299</v>
      </c>
      <c r="K20" s="14"/>
      <c r="L20" s="14"/>
      <c r="M20" s="14"/>
      <c r="N20" s="14"/>
      <c r="O20" s="14"/>
      <c r="P20" s="14"/>
      <c r="Q20" s="14"/>
      <c r="R20" s="14"/>
      <c r="S20" s="14"/>
      <c r="T20" s="15">
        <f t="shared" si="2"/>
        <v>527881299</v>
      </c>
    </row>
    <row r="21" spans="1:20" x14ac:dyDescent="0.25">
      <c r="A21" s="8">
        <v>30501180415</v>
      </c>
      <c r="B21" s="8" t="s">
        <v>39</v>
      </c>
      <c r="C21" s="16">
        <v>1000000</v>
      </c>
      <c r="D21" s="15"/>
      <c r="E21" s="14"/>
      <c r="F21" s="14"/>
      <c r="G21" s="14">
        <f>C21+D21-E21+F21</f>
        <v>1000000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>
        <v>548547</v>
      </c>
      <c r="S21" s="14"/>
      <c r="T21" s="15">
        <f t="shared" si="2"/>
        <v>548547</v>
      </c>
    </row>
    <row r="22" spans="1:20" x14ac:dyDescent="0.25">
      <c r="A22" s="8">
        <v>30501180416</v>
      </c>
      <c r="B22" s="8" t="s">
        <v>40</v>
      </c>
      <c r="C22" s="11">
        <f>SUM(C23:C28)</f>
        <v>1037000000</v>
      </c>
      <c r="D22" s="17">
        <f>SUM(D23:D28)</f>
        <v>96963564</v>
      </c>
      <c r="E22" s="11">
        <f>SUM(E23:E28)</f>
        <v>242075497</v>
      </c>
      <c r="F22" s="11">
        <f>SUM(F23:F28)</f>
        <v>0</v>
      </c>
      <c r="G22" s="11">
        <f>SUM(G23:G28)</f>
        <v>891888067</v>
      </c>
      <c r="H22" s="11">
        <f t="shared" ref="H22:S22" si="4">H23+H24+H25+H26+H27+H28</f>
        <v>49183654</v>
      </c>
      <c r="I22" s="11">
        <f t="shared" si="4"/>
        <v>58294216</v>
      </c>
      <c r="J22" s="11">
        <f t="shared" si="4"/>
        <v>57564452</v>
      </c>
      <c r="K22" s="11">
        <f t="shared" si="4"/>
        <v>59878315</v>
      </c>
      <c r="L22" s="11">
        <f t="shared" si="4"/>
        <v>63648303</v>
      </c>
      <c r="M22" s="11">
        <f t="shared" si="4"/>
        <v>68693974</v>
      </c>
      <c r="N22" s="11">
        <f t="shared" si="4"/>
        <v>103908776</v>
      </c>
      <c r="O22" s="11">
        <f t="shared" si="4"/>
        <v>71964632</v>
      </c>
      <c r="P22" s="11">
        <f t="shared" si="4"/>
        <v>67323844</v>
      </c>
      <c r="Q22" s="11">
        <f t="shared" si="4"/>
        <v>63643089</v>
      </c>
      <c r="R22" s="11">
        <f t="shared" si="4"/>
        <v>60196994</v>
      </c>
      <c r="S22" s="11">
        <f t="shared" si="4"/>
        <v>101919871</v>
      </c>
      <c r="T22" s="11">
        <f>SUM(T23:T28)</f>
        <v>826220120</v>
      </c>
    </row>
    <row r="23" spans="1:20" x14ac:dyDescent="0.25">
      <c r="A23" s="8">
        <v>30501180417</v>
      </c>
      <c r="B23" s="8" t="s">
        <v>41</v>
      </c>
      <c r="C23" s="16">
        <v>120000000</v>
      </c>
      <c r="D23" s="15">
        <v>11800000</v>
      </c>
      <c r="E23" s="14">
        <v>8836436</v>
      </c>
      <c r="F23" s="14"/>
      <c r="G23" s="14">
        <f t="shared" ref="G23:G28" si="5">C23+D23-E23+F23</f>
        <v>122963564</v>
      </c>
      <c r="H23" s="14">
        <v>8756244</v>
      </c>
      <c r="I23" s="14">
        <v>9518100</v>
      </c>
      <c r="J23" s="14">
        <v>9303400</v>
      </c>
      <c r="K23" s="14">
        <v>12080100</v>
      </c>
      <c r="L23" s="14">
        <v>13013900</v>
      </c>
      <c r="M23" s="14">
        <v>10546875</v>
      </c>
      <c r="N23" s="14">
        <v>16584752</v>
      </c>
      <c r="O23" s="14">
        <v>8954712</v>
      </c>
      <c r="P23" s="14">
        <v>7456254</v>
      </c>
      <c r="Q23" s="14">
        <v>7564215</v>
      </c>
      <c r="R23" s="14">
        <v>7495712</v>
      </c>
      <c r="S23" s="14">
        <v>11546879</v>
      </c>
      <c r="T23" s="15">
        <f t="shared" si="2"/>
        <v>122821143</v>
      </c>
    </row>
    <row r="24" spans="1:20" x14ac:dyDescent="0.25">
      <c r="A24" s="8">
        <v>30501180418</v>
      </c>
      <c r="B24" s="8" t="s">
        <v>42</v>
      </c>
      <c r="C24" s="16">
        <v>95000000</v>
      </c>
      <c r="D24" s="15"/>
      <c r="E24" s="14">
        <f>11927327+40000000</f>
        <v>51927327</v>
      </c>
      <c r="F24" s="14"/>
      <c r="G24" s="14">
        <f t="shared" si="5"/>
        <v>43072673</v>
      </c>
      <c r="H24" s="14">
        <v>859423</v>
      </c>
      <c r="I24" s="14">
        <v>903900</v>
      </c>
      <c r="J24" s="14">
        <v>849200</v>
      </c>
      <c r="K24" s="14">
        <v>1104700</v>
      </c>
      <c r="L24" s="14">
        <v>1266600</v>
      </c>
      <c r="M24" s="14">
        <v>1056879</v>
      </c>
      <c r="N24" s="14">
        <v>1874562</v>
      </c>
      <c r="O24" s="14">
        <v>1245832</v>
      </c>
      <c r="P24" s="14">
        <v>1426218</v>
      </c>
      <c r="Q24" s="14">
        <v>1354200</v>
      </c>
      <c r="R24" s="14">
        <v>1402578</v>
      </c>
      <c r="S24" s="14">
        <v>2905642</v>
      </c>
      <c r="T24" s="15">
        <f t="shared" si="2"/>
        <v>16249734</v>
      </c>
    </row>
    <row r="25" spans="1:20" x14ac:dyDescent="0.25">
      <c r="A25" s="8">
        <v>30501180419</v>
      </c>
      <c r="B25" s="8" t="s">
        <v>43</v>
      </c>
      <c r="C25" s="16">
        <v>35000000</v>
      </c>
      <c r="D25" s="15">
        <v>20481782</v>
      </c>
      <c r="E25" s="14">
        <v>20000000</v>
      </c>
      <c r="F25" s="14"/>
      <c r="G25" s="14">
        <f t="shared" si="5"/>
        <v>35481782</v>
      </c>
      <c r="H25" s="14">
        <v>852456</v>
      </c>
      <c r="I25" s="14">
        <v>1189000</v>
      </c>
      <c r="J25" s="14">
        <v>1161900</v>
      </c>
      <c r="K25" s="14">
        <v>847850</v>
      </c>
      <c r="L25" s="14">
        <v>918650</v>
      </c>
      <c r="M25" s="14">
        <v>789526</v>
      </c>
      <c r="N25" s="14">
        <v>1152874</v>
      </c>
      <c r="O25" s="14">
        <v>832554</v>
      </c>
      <c r="P25" s="14">
        <v>1045687</v>
      </c>
      <c r="Q25" s="14">
        <v>2054876</v>
      </c>
      <c r="R25" s="14">
        <v>2154768</v>
      </c>
      <c r="S25" s="14">
        <v>3856412</v>
      </c>
      <c r="T25" s="15">
        <f t="shared" si="2"/>
        <v>16856553</v>
      </c>
    </row>
    <row r="26" spans="1:20" x14ac:dyDescent="0.25">
      <c r="A26" s="8">
        <v>30501180420</v>
      </c>
      <c r="B26" s="8" t="s">
        <v>44</v>
      </c>
      <c r="C26" s="16">
        <v>35000000</v>
      </c>
      <c r="D26" s="15">
        <v>20481782</v>
      </c>
      <c r="E26" s="14">
        <v>20000000</v>
      </c>
      <c r="F26" s="14"/>
      <c r="G26" s="14">
        <f t="shared" si="5"/>
        <v>35481782</v>
      </c>
      <c r="H26" s="14">
        <v>852456</v>
      </c>
      <c r="I26" s="14">
        <v>1189000</v>
      </c>
      <c r="J26" s="14">
        <v>1161900</v>
      </c>
      <c r="K26" s="14">
        <v>847850</v>
      </c>
      <c r="L26" s="14">
        <v>918650</v>
      </c>
      <c r="M26" s="14">
        <v>789526</v>
      </c>
      <c r="N26" s="14">
        <v>1152874</v>
      </c>
      <c r="O26" s="14">
        <v>832554</v>
      </c>
      <c r="P26" s="14">
        <v>1045687</v>
      </c>
      <c r="Q26" s="14">
        <v>2054876</v>
      </c>
      <c r="R26" s="14">
        <v>2154768</v>
      </c>
      <c r="S26" s="14">
        <v>3856412</v>
      </c>
      <c r="T26" s="15">
        <f t="shared" si="2"/>
        <v>16856553</v>
      </c>
    </row>
    <row r="27" spans="1:20" x14ac:dyDescent="0.25">
      <c r="A27" s="8">
        <v>30501180421</v>
      </c>
      <c r="B27" s="8" t="s">
        <v>45</v>
      </c>
      <c r="C27" s="16">
        <v>42000000</v>
      </c>
      <c r="D27" s="15"/>
      <c r="E27" s="14"/>
      <c r="F27" s="14"/>
      <c r="G27" s="14">
        <f t="shared" si="5"/>
        <v>42000000</v>
      </c>
      <c r="H27" s="14">
        <f>H26*2</f>
        <v>1704912</v>
      </c>
      <c r="I27" s="14">
        <v>2379400</v>
      </c>
      <c r="J27" s="14">
        <v>2326100</v>
      </c>
      <c r="K27" s="14">
        <v>3024000</v>
      </c>
      <c r="L27" s="14">
        <v>3252800</v>
      </c>
      <c r="M27" s="14">
        <v>3021456</v>
      </c>
      <c r="N27" s="14">
        <v>3687456</v>
      </c>
      <c r="O27" s="14">
        <v>3124447</v>
      </c>
      <c r="P27" s="14">
        <v>3781255</v>
      </c>
      <c r="Q27" s="14">
        <v>3593300</v>
      </c>
      <c r="R27" s="14">
        <v>3741452</v>
      </c>
      <c r="S27" s="14">
        <v>7064785</v>
      </c>
      <c r="T27" s="15">
        <f t="shared" si="2"/>
        <v>40701363</v>
      </c>
    </row>
    <row r="28" spans="1:20" x14ac:dyDescent="0.25">
      <c r="A28" s="8">
        <v>30501180422</v>
      </c>
      <c r="B28" s="8" t="s">
        <v>46</v>
      </c>
      <c r="C28" s="16">
        <v>710000000</v>
      </c>
      <c r="D28" s="15">
        <v>44200000</v>
      </c>
      <c r="E28" s="14">
        <v>141311734</v>
      </c>
      <c r="F28" s="14"/>
      <c r="G28" s="14">
        <f t="shared" si="5"/>
        <v>612888266</v>
      </c>
      <c r="H28" s="14">
        <v>36158163</v>
      </c>
      <c r="I28" s="14">
        <f>23573058+19541758</f>
        <v>43114816</v>
      </c>
      <c r="J28" s="14">
        <f>23919826+18842126</f>
        <v>42761952</v>
      </c>
      <c r="K28" s="14">
        <v>41973815</v>
      </c>
      <c r="L28" s="14">
        <v>44277703</v>
      </c>
      <c r="M28" s="14">
        <v>52489712</v>
      </c>
      <c r="N28" s="14">
        <v>79456258</v>
      </c>
      <c r="O28" s="14">
        <v>56974533</v>
      </c>
      <c r="P28" s="14">
        <v>52568743</v>
      </c>
      <c r="Q28" s="14">
        <v>47021622</v>
      </c>
      <c r="R28" s="14">
        <v>43247716</v>
      </c>
      <c r="S28" s="14">
        <v>72689741</v>
      </c>
      <c r="T28" s="15">
        <f t="shared" si="2"/>
        <v>612734774</v>
      </c>
    </row>
    <row r="29" spans="1:20" x14ac:dyDescent="0.25">
      <c r="A29" s="8">
        <v>30502</v>
      </c>
      <c r="B29" s="8" t="s">
        <v>47</v>
      </c>
      <c r="C29" s="10"/>
      <c r="D29" s="15"/>
      <c r="E29" s="10"/>
      <c r="F29" s="10"/>
      <c r="G29" s="14"/>
      <c r="H29" s="10"/>
      <c r="I29" s="19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8"/>
      <c r="B30" s="8" t="s">
        <v>48</v>
      </c>
      <c r="C30" s="11">
        <f t="shared" ref="C30:T30" si="6">SUM(C31:C36)</f>
        <v>702000000</v>
      </c>
      <c r="D30" s="17">
        <f t="shared" si="6"/>
        <v>297400000</v>
      </c>
      <c r="E30" s="11">
        <f t="shared" si="6"/>
        <v>360271267</v>
      </c>
      <c r="F30" s="11">
        <f t="shared" si="6"/>
        <v>23348998</v>
      </c>
      <c r="G30" s="11">
        <f t="shared" si="6"/>
        <v>662477731</v>
      </c>
      <c r="H30" s="11">
        <f t="shared" si="6"/>
        <v>12410190</v>
      </c>
      <c r="I30" s="11">
        <f t="shared" si="6"/>
        <v>0</v>
      </c>
      <c r="J30" s="11">
        <f t="shared" si="6"/>
        <v>0</v>
      </c>
      <c r="K30" s="11">
        <f t="shared" si="6"/>
        <v>211310235</v>
      </c>
      <c r="L30" s="11">
        <f t="shared" si="6"/>
        <v>0</v>
      </c>
      <c r="M30" s="11">
        <f t="shared" si="6"/>
        <v>230125938</v>
      </c>
      <c r="N30" s="11">
        <f t="shared" si="6"/>
        <v>214948880</v>
      </c>
      <c r="O30" s="11">
        <f t="shared" si="6"/>
        <v>6300131</v>
      </c>
      <c r="P30" s="11">
        <f t="shared" si="6"/>
        <v>0</v>
      </c>
      <c r="Q30" s="11">
        <f t="shared" si="6"/>
        <v>-50526256</v>
      </c>
      <c r="R30" s="11">
        <f t="shared" si="6"/>
        <v>0</v>
      </c>
      <c r="S30" s="11">
        <f t="shared" si="6"/>
        <v>0</v>
      </c>
      <c r="T30" s="11">
        <f t="shared" si="6"/>
        <v>624569118</v>
      </c>
    </row>
    <row r="31" spans="1:20" x14ac:dyDescent="0.25">
      <c r="A31" s="8">
        <v>30502180401</v>
      </c>
      <c r="B31" s="8" t="s">
        <v>49</v>
      </c>
      <c r="C31" s="16">
        <v>20000000</v>
      </c>
      <c r="D31" s="20">
        <f>160000000+11400000</f>
        <v>171400000</v>
      </c>
      <c r="E31" s="20">
        <f>74500000+31902800</f>
        <v>106402800</v>
      </c>
      <c r="F31" s="20"/>
      <c r="G31" s="14">
        <f t="shared" ref="G31:G36" si="7">C31+D31-E31+F31</f>
        <v>84997200</v>
      </c>
      <c r="H31" s="20"/>
      <c r="I31" s="20"/>
      <c r="J31" s="20"/>
      <c r="K31" s="20"/>
      <c r="L31" s="20"/>
      <c r="M31" s="20"/>
      <c r="N31" s="20">
        <v>84959280</v>
      </c>
      <c r="O31" s="20"/>
      <c r="P31" s="20"/>
      <c r="Q31" s="20"/>
      <c r="R31" s="20"/>
      <c r="S31" s="20"/>
      <c r="T31" s="15">
        <f t="shared" ref="T31:T46" si="8">H31+I31+J31+K31+L31+M31+N31+O31+P31+Q31+R31+S31</f>
        <v>84959280</v>
      </c>
    </row>
    <row r="32" spans="1:20" x14ac:dyDescent="0.25">
      <c r="A32" s="8">
        <v>30502180402</v>
      </c>
      <c r="B32" s="8" t="s">
        <v>50</v>
      </c>
      <c r="C32" s="16">
        <v>180000000</v>
      </c>
      <c r="D32" s="18">
        <f>110000000+16000000</f>
        <v>126000000</v>
      </c>
      <c r="E32" s="20">
        <v>30040702</v>
      </c>
      <c r="F32" s="20"/>
      <c r="G32" s="14">
        <f t="shared" si="7"/>
        <v>275959298</v>
      </c>
      <c r="H32" s="20">
        <v>12410190</v>
      </c>
      <c r="I32" s="20"/>
      <c r="J32" s="20"/>
      <c r="K32" s="20">
        <v>48111744</v>
      </c>
      <c r="L32" s="20"/>
      <c r="M32" s="20">
        <v>190970780</v>
      </c>
      <c r="N32" s="20"/>
      <c r="O32" s="20">
        <v>6300131</v>
      </c>
      <c r="P32" s="20"/>
      <c r="Q32" s="20"/>
      <c r="R32" s="20"/>
      <c r="S32" s="20"/>
      <c r="T32" s="15">
        <f t="shared" si="8"/>
        <v>257792845</v>
      </c>
    </row>
    <row r="33" spans="1:20" x14ac:dyDescent="0.25">
      <c r="A33" s="8">
        <v>30502180403</v>
      </c>
      <c r="B33" s="8" t="s">
        <v>51</v>
      </c>
      <c r="C33" s="16">
        <v>300000000</v>
      </c>
      <c r="D33" s="20"/>
      <c r="E33" s="20">
        <f>5000000+57327765</f>
        <v>62327765</v>
      </c>
      <c r="F33" s="18">
        <v>23348998</v>
      </c>
      <c r="G33" s="14">
        <f t="shared" si="7"/>
        <v>261021233</v>
      </c>
      <c r="H33" s="20"/>
      <c r="I33" s="20"/>
      <c r="J33" s="20"/>
      <c r="K33" s="20">
        <v>163198491</v>
      </c>
      <c r="L33" s="20"/>
      <c r="M33" s="20">
        <v>23348998</v>
      </c>
      <c r="N33" s="20">
        <v>129989600</v>
      </c>
      <c r="O33" s="20"/>
      <c r="P33" s="20"/>
      <c r="Q33" s="20">
        <v>-55526256</v>
      </c>
      <c r="R33" s="20"/>
      <c r="S33" s="20"/>
      <c r="T33" s="15">
        <f t="shared" si="8"/>
        <v>261010833</v>
      </c>
    </row>
    <row r="34" spans="1:20" x14ac:dyDescent="0.25">
      <c r="A34" s="8">
        <v>30502180404</v>
      </c>
      <c r="B34" s="8" t="s">
        <v>52</v>
      </c>
      <c r="C34" s="16">
        <v>40000000</v>
      </c>
      <c r="D34" s="20"/>
      <c r="E34" s="20">
        <v>25000000</v>
      </c>
      <c r="F34" s="20"/>
      <c r="G34" s="14">
        <f t="shared" si="7"/>
        <v>15000000</v>
      </c>
      <c r="H34" s="20"/>
      <c r="I34" s="20"/>
      <c r="J34" s="20"/>
      <c r="K34" s="20"/>
      <c r="L34" s="20"/>
      <c r="M34" s="20"/>
      <c r="N34" s="20">
        <v>0</v>
      </c>
      <c r="O34" s="20"/>
      <c r="P34" s="20"/>
      <c r="Q34" s="20">
        <v>5000000</v>
      </c>
      <c r="R34" s="20"/>
      <c r="S34" s="20"/>
      <c r="T34" s="15">
        <f t="shared" si="8"/>
        <v>5000000</v>
      </c>
    </row>
    <row r="35" spans="1:20" x14ac:dyDescent="0.25">
      <c r="A35" s="8" t="s">
        <v>53</v>
      </c>
      <c r="B35" s="8" t="s">
        <v>54</v>
      </c>
      <c r="C35" s="16">
        <v>2000000</v>
      </c>
      <c r="D35" s="20"/>
      <c r="E35" s="20">
        <v>1500000</v>
      </c>
      <c r="F35" s="20"/>
      <c r="G35" s="14">
        <f t="shared" si="7"/>
        <v>500000</v>
      </c>
      <c r="H35" s="20"/>
      <c r="I35" s="20"/>
      <c r="J35" s="20"/>
      <c r="K35" s="20"/>
      <c r="L35" s="20"/>
      <c r="M35" s="20"/>
      <c r="N35" s="20">
        <v>0</v>
      </c>
      <c r="O35" s="20"/>
      <c r="P35" s="20"/>
      <c r="Q35" s="20"/>
      <c r="R35" s="20"/>
      <c r="S35" s="20"/>
      <c r="T35" s="15">
        <f t="shared" si="8"/>
        <v>0</v>
      </c>
    </row>
    <row r="36" spans="1:20" x14ac:dyDescent="0.25">
      <c r="A36" s="8">
        <v>30502180405</v>
      </c>
      <c r="B36" s="8" t="s">
        <v>55</v>
      </c>
      <c r="C36" s="16">
        <v>160000000</v>
      </c>
      <c r="D36" s="20"/>
      <c r="E36" s="20">
        <f>100000000+30000000+5000000</f>
        <v>135000000</v>
      </c>
      <c r="F36" s="20"/>
      <c r="G36" s="14">
        <f t="shared" si="7"/>
        <v>25000000</v>
      </c>
      <c r="H36" s="20"/>
      <c r="I36" s="20"/>
      <c r="J36" s="20"/>
      <c r="K36" s="20"/>
      <c r="L36" s="20"/>
      <c r="M36" s="20">
        <v>15806160</v>
      </c>
      <c r="N36" s="20">
        <v>0</v>
      </c>
      <c r="O36" s="20"/>
      <c r="P36" s="20"/>
      <c r="Q36" s="20"/>
      <c r="R36" s="20"/>
      <c r="S36" s="20"/>
      <c r="T36" s="15">
        <f t="shared" si="8"/>
        <v>15806160</v>
      </c>
    </row>
    <row r="37" spans="1:20" x14ac:dyDescent="0.25">
      <c r="A37" s="8"/>
      <c r="B37" s="8" t="s">
        <v>56</v>
      </c>
      <c r="C37" s="11">
        <f t="shared" ref="C37:T37" si="9">SUM(C38:C46)</f>
        <v>634000000</v>
      </c>
      <c r="D37" s="17">
        <f t="shared" si="9"/>
        <v>49022212</v>
      </c>
      <c r="E37" s="11">
        <f t="shared" si="9"/>
        <v>112865000</v>
      </c>
      <c r="F37" s="11">
        <f t="shared" si="9"/>
        <v>26947250</v>
      </c>
      <c r="G37" s="11">
        <f t="shared" si="9"/>
        <v>597104462</v>
      </c>
      <c r="H37" s="11">
        <f t="shared" si="9"/>
        <v>15562457</v>
      </c>
      <c r="I37" s="11">
        <f t="shared" si="9"/>
        <v>27690973</v>
      </c>
      <c r="J37" s="11">
        <f t="shared" si="9"/>
        <v>120646864</v>
      </c>
      <c r="K37" s="11">
        <f t="shared" si="9"/>
        <v>124347277</v>
      </c>
      <c r="L37" s="11">
        <f t="shared" si="9"/>
        <v>24305361</v>
      </c>
      <c r="M37" s="11">
        <f t="shared" si="9"/>
        <v>52108446</v>
      </c>
      <c r="N37" s="11">
        <f t="shared" si="9"/>
        <v>18069830</v>
      </c>
      <c r="O37" s="11">
        <f t="shared" si="9"/>
        <v>25203347</v>
      </c>
      <c r="P37" s="11">
        <f t="shared" si="9"/>
        <v>68100018</v>
      </c>
      <c r="Q37" s="11">
        <f t="shared" si="9"/>
        <v>17744949</v>
      </c>
      <c r="R37" s="11">
        <f t="shared" si="9"/>
        <v>29942800</v>
      </c>
      <c r="S37" s="11">
        <f t="shared" si="9"/>
        <v>19225667</v>
      </c>
      <c r="T37" s="11">
        <f t="shared" si="9"/>
        <v>542947989</v>
      </c>
    </row>
    <row r="38" spans="1:20" x14ac:dyDescent="0.25">
      <c r="A38" s="8">
        <v>30502180406</v>
      </c>
      <c r="B38" s="8" t="s">
        <v>57</v>
      </c>
      <c r="C38" s="20">
        <v>70000000</v>
      </c>
      <c r="D38" s="20"/>
      <c r="E38" s="20">
        <f>4000000+10000000+10000000</f>
        <v>24000000</v>
      </c>
      <c r="F38" s="18">
        <v>10000000</v>
      </c>
      <c r="G38" s="14">
        <f t="shared" ref="G38:G46" si="10">C38+D38-E38+F38</f>
        <v>56000000</v>
      </c>
      <c r="H38" s="20">
        <v>1518173</v>
      </c>
      <c r="I38" s="20">
        <v>1567821</v>
      </c>
      <c r="J38" s="20">
        <v>37331424</v>
      </c>
      <c r="K38" s="20">
        <v>2016402</v>
      </c>
      <c r="L38" s="20">
        <v>684491</v>
      </c>
      <c r="M38" s="20">
        <v>6184417</v>
      </c>
      <c r="N38" s="20">
        <v>684282</v>
      </c>
      <c r="O38" s="20">
        <v>684421</v>
      </c>
      <c r="P38" s="20">
        <v>630865</v>
      </c>
      <c r="Q38" s="20">
        <v>565532</v>
      </c>
      <c r="R38" s="20">
        <v>566089</v>
      </c>
      <c r="S38" s="20">
        <v>602345</v>
      </c>
      <c r="T38" s="15">
        <f t="shared" si="8"/>
        <v>53036262</v>
      </c>
    </row>
    <row r="39" spans="1:20" x14ac:dyDescent="0.25">
      <c r="A39" s="8">
        <v>30502180407</v>
      </c>
      <c r="B39" s="8" t="s">
        <v>58</v>
      </c>
      <c r="C39" s="20">
        <v>110000000</v>
      </c>
      <c r="D39" s="18">
        <f>16000000+6750912+7602100</f>
        <v>30353012</v>
      </c>
      <c r="E39" s="20"/>
      <c r="F39" s="20"/>
      <c r="G39" s="14">
        <f t="shared" si="10"/>
        <v>140353012</v>
      </c>
      <c r="H39" s="20"/>
      <c r="I39" s="20"/>
      <c r="J39" s="20"/>
      <c r="K39" s="20">
        <v>49690300</v>
      </c>
      <c r="L39" s="20"/>
      <c r="M39" s="20">
        <v>17969996</v>
      </c>
      <c r="N39" s="20"/>
      <c r="O39" s="20">
        <v>4500000</v>
      </c>
      <c r="P39" s="20">
        <v>53000000</v>
      </c>
      <c r="Q39" s="20"/>
      <c r="R39" s="20">
        <v>14600000</v>
      </c>
      <c r="S39" s="20"/>
      <c r="T39" s="15">
        <f t="shared" si="8"/>
        <v>139760296</v>
      </c>
    </row>
    <row r="40" spans="1:20" x14ac:dyDescent="0.25">
      <c r="A40" s="8">
        <v>30502180408</v>
      </c>
      <c r="B40" s="8" t="s">
        <v>59</v>
      </c>
      <c r="C40" s="20">
        <v>50000000</v>
      </c>
      <c r="D40" s="20"/>
      <c r="E40" s="20">
        <v>5000000</v>
      </c>
      <c r="F40" s="20"/>
      <c r="G40" s="14">
        <f t="shared" si="10"/>
        <v>45000000</v>
      </c>
      <c r="H40" s="20"/>
      <c r="I40" s="20"/>
      <c r="J40" s="20">
        <v>10000000</v>
      </c>
      <c r="K40" s="20"/>
      <c r="L40" s="20">
        <f>8193443+1417827</f>
        <v>9611270</v>
      </c>
      <c r="M40" s="20"/>
      <c r="N40" s="20">
        <v>426406</v>
      </c>
      <c r="O40" s="20"/>
      <c r="P40" s="20"/>
      <c r="Q40" s="20"/>
      <c r="R40" s="20"/>
      <c r="S40" s="20"/>
      <c r="T40" s="15">
        <f t="shared" si="8"/>
        <v>20037676</v>
      </c>
    </row>
    <row r="41" spans="1:20" x14ac:dyDescent="0.25">
      <c r="A41" s="8">
        <v>30502180409</v>
      </c>
      <c r="B41" s="8" t="s">
        <v>60</v>
      </c>
      <c r="C41" s="20">
        <v>200000000</v>
      </c>
      <c r="D41" s="20"/>
      <c r="E41" s="20">
        <f>10000000+10000000+9250000</f>
        <v>29250000</v>
      </c>
      <c r="F41" s="20"/>
      <c r="G41" s="14">
        <f t="shared" si="10"/>
        <v>170750000</v>
      </c>
      <c r="H41" s="20">
        <v>11769531</v>
      </c>
      <c r="I41" s="20">
        <v>14629602</v>
      </c>
      <c r="J41" s="20">
        <v>12489844</v>
      </c>
      <c r="K41" s="20">
        <v>13211685</v>
      </c>
      <c r="L41" s="20">
        <v>11026158</v>
      </c>
      <c r="M41" s="20">
        <v>11006783</v>
      </c>
      <c r="N41" s="20">
        <v>16023499</v>
      </c>
      <c r="O41" s="20">
        <v>15281275</v>
      </c>
      <c r="P41" s="20">
        <v>13076469</v>
      </c>
      <c r="Q41" s="20">
        <v>14244941</v>
      </c>
      <c r="R41" s="20">
        <v>13230027</v>
      </c>
      <c r="S41" s="20">
        <v>10151322</v>
      </c>
      <c r="T41" s="15">
        <f t="shared" si="8"/>
        <v>156141136</v>
      </c>
    </row>
    <row r="42" spans="1:20" x14ac:dyDescent="0.25">
      <c r="A42" s="8">
        <v>30502180410</v>
      </c>
      <c r="B42" s="8" t="s">
        <v>61</v>
      </c>
      <c r="C42" s="20">
        <v>45000000</v>
      </c>
      <c r="D42" s="20"/>
      <c r="E42" s="20">
        <f>5000000+10000000</f>
        <v>15000000</v>
      </c>
      <c r="F42" s="20"/>
      <c r="G42" s="14">
        <f t="shared" si="10"/>
        <v>30000000</v>
      </c>
      <c r="H42" s="20">
        <v>2274753</v>
      </c>
      <c r="I42" s="20">
        <v>2538929</v>
      </c>
      <c r="J42" s="20">
        <v>1154672</v>
      </c>
      <c r="K42" s="20">
        <v>4884255</v>
      </c>
      <c r="L42" s="20">
        <v>2983442</v>
      </c>
      <c r="M42" s="20"/>
      <c r="N42" s="20">
        <v>935643</v>
      </c>
      <c r="O42" s="20">
        <v>4737651</v>
      </c>
      <c r="P42" s="20">
        <v>1392684</v>
      </c>
      <c r="Q42" s="20">
        <v>2934476</v>
      </c>
      <c r="R42" s="20">
        <v>1546684</v>
      </c>
      <c r="S42" s="20"/>
      <c r="T42" s="15">
        <f>H42+I42+J42+K42+L42+M42+N42+O42+P42+Q42+R42+S42</f>
        <v>25383189</v>
      </c>
    </row>
    <row r="43" spans="1:20" x14ac:dyDescent="0.25">
      <c r="A43" s="8">
        <v>30502180411</v>
      </c>
      <c r="B43" s="8" t="s">
        <v>62</v>
      </c>
      <c r="C43" s="20">
        <v>130000000</v>
      </c>
      <c r="D43" s="20">
        <v>8669200</v>
      </c>
      <c r="E43" s="20">
        <v>28115000</v>
      </c>
      <c r="F43" s="18">
        <v>16947250</v>
      </c>
      <c r="G43" s="14">
        <f t="shared" si="10"/>
        <v>127501450</v>
      </c>
      <c r="H43" s="20">
        <v>0</v>
      </c>
      <c r="I43" s="20">
        <v>0</v>
      </c>
      <c r="J43" s="20">
        <v>49885000</v>
      </c>
      <c r="K43" s="20">
        <v>52000000</v>
      </c>
      <c r="L43" s="20">
        <v>0</v>
      </c>
      <c r="M43" s="20">
        <v>16947250</v>
      </c>
      <c r="N43" s="20">
        <v>0</v>
      </c>
      <c r="O43" s="20"/>
      <c r="P43" s="20"/>
      <c r="Q43" s="20"/>
      <c r="R43" s="20"/>
      <c r="S43" s="20">
        <v>8472000</v>
      </c>
      <c r="T43" s="15">
        <f>H43+I43+J43+K43+L43+M43+N43+O43+P43+Q43+R43+S43</f>
        <v>127304250</v>
      </c>
    </row>
    <row r="44" spans="1:20" x14ac:dyDescent="0.25">
      <c r="A44" s="8">
        <v>30502180412</v>
      </c>
      <c r="B44" s="8" t="s">
        <v>63</v>
      </c>
      <c r="C44" s="20">
        <v>18000000</v>
      </c>
      <c r="D44" s="20"/>
      <c r="E44" s="20">
        <f>8000000+3000000</f>
        <v>11000000</v>
      </c>
      <c r="G44" s="14">
        <f t="shared" si="10"/>
        <v>7000000</v>
      </c>
      <c r="H44" s="20"/>
      <c r="I44" s="20"/>
      <c r="J44" s="20">
        <v>6000000</v>
      </c>
      <c r="K44" s="20"/>
      <c r="L44" s="20">
        <v>0</v>
      </c>
      <c r="M44" s="20"/>
      <c r="N44" s="20">
        <v>0</v>
      </c>
      <c r="O44" s="20"/>
      <c r="P44" s="20"/>
      <c r="Q44" s="20"/>
      <c r="R44" s="20"/>
      <c r="S44" s="20"/>
      <c r="T44" s="15">
        <f t="shared" si="8"/>
        <v>6000000</v>
      </c>
    </row>
    <row r="45" spans="1:20" x14ac:dyDescent="0.25">
      <c r="A45" s="8">
        <v>30502180413</v>
      </c>
      <c r="B45" s="8" t="s">
        <v>64</v>
      </c>
      <c r="C45" s="20">
        <v>10000000</v>
      </c>
      <c r="D45" s="20">
        <v>10000000</v>
      </c>
      <c r="E45" s="20"/>
      <c r="F45" s="20"/>
      <c r="G45" s="14">
        <f t="shared" si="10"/>
        <v>20000000</v>
      </c>
      <c r="H45" s="20"/>
      <c r="I45" s="20">
        <v>8954621</v>
      </c>
      <c r="J45" s="20">
        <v>3785924</v>
      </c>
      <c r="K45" s="20">
        <v>2544635</v>
      </c>
      <c r="L45" s="20">
        <v>0</v>
      </c>
      <c r="M45" s="20"/>
      <c r="N45" s="20">
        <v>0</v>
      </c>
      <c r="O45" s="20"/>
      <c r="P45" s="20"/>
      <c r="Q45" s="20"/>
      <c r="R45" s="20"/>
      <c r="S45" s="20"/>
      <c r="T45" s="15">
        <f t="shared" si="8"/>
        <v>15285180</v>
      </c>
    </row>
    <row r="46" spans="1:20" x14ac:dyDescent="0.25">
      <c r="A46" s="8">
        <v>30502180414</v>
      </c>
      <c r="B46" s="8" t="s">
        <v>65</v>
      </c>
      <c r="C46" s="20">
        <v>1000000</v>
      </c>
      <c r="D46" s="20"/>
      <c r="E46" s="20">
        <v>500000</v>
      </c>
      <c r="F46" s="20"/>
      <c r="G46" s="14">
        <f t="shared" si="10"/>
        <v>500000</v>
      </c>
      <c r="H46" s="20"/>
      <c r="I46" s="20"/>
      <c r="J46" s="20"/>
      <c r="K46" s="20"/>
      <c r="L46" s="20">
        <v>0</v>
      </c>
      <c r="M46" s="20"/>
      <c r="N46" s="20">
        <v>0</v>
      </c>
      <c r="O46" s="20"/>
      <c r="P46" s="20"/>
      <c r="Q46" s="20"/>
      <c r="R46" s="20"/>
      <c r="S46" s="20"/>
      <c r="T46" s="15">
        <f t="shared" si="8"/>
        <v>0</v>
      </c>
    </row>
    <row r="47" spans="1:20" x14ac:dyDescent="0.25">
      <c r="A47" s="8"/>
      <c r="B47" s="8" t="s">
        <v>66</v>
      </c>
      <c r="C47" s="20"/>
      <c r="D47" s="20"/>
      <c r="E47" s="20"/>
      <c r="F47" s="20"/>
      <c r="G47" s="20"/>
      <c r="H47" s="20"/>
      <c r="I47" s="20"/>
      <c r="J47" s="20"/>
      <c r="K47" s="20"/>
      <c r="L47" s="20">
        <v>0</v>
      </c>
      <c r="M47" s="20"/>
      <c r="N47" s="20"/>
      <c r="O47" s="20"/>
      <c r="P47" s="20"/>
      <c r="Q47" s="20"/>
      <c r="R47" s="20"/>
      <c r="S47" s="20"/>
      <c r="T47" s="15"/>
    </row>
    <row r="48" spans="1:20" x14ac:dyDescent="0.25">
      <c r="A48" s="8"/>
      <c r="B48" s="8" t="s">
        <v>67</v>
      </c>
      <c r="C48" s="11">
        <f t="shared" ref="C48:T48" si="11">SUM(C49:C52)</f>
        <v>703000000</v>
      </c>
      <c r="D48" s="11">
        <f t="shared" si="11"/>
        <v>81000000</v>
      </c>
      <c r="E48" s="11">
        <f t="shared" si="11"/>
        <v>239000000</v>
      </c>
      <c r="F48" s="11">
        <f t="shared" si="11"/>
        <v>0</v>
      </c>
      <c r="G48" s="11">
        <f t="shared" si="11"/>
        <v>545000000</v>
      </c>
      <c r="H48" s="11">
        <f t="shared" si="11"/>
        <v>32560654</v>
      </c>
      <c r="I48" s="11">
        <f t="shared" si="11"/>
        <v>342410827</v>
      </c>
      <c r="J48" s="11">
        <f t="shared" si="11"/>
        <v>6958017</v>
      </c>
      <c r="K48" s="11">
        <f t="shared" si="11"/>
        <v>5205672</v>
      </c>
      <c r="L48" s="11">
        <f t="shared" si="11"/>
        <v>7331452</v>
      </c>
      <c r="M48" s="11">
        <f t="shared" si="11"/>
        <v>96268562</v>
      </c>
      <c r="N48" s="11">
        <f t="shared" si="11"/>
        <v>7843787</v>
      </c>
      <c r="O48" s="11">
        <f t="shared" si="11"/>
        <v>5847640</v>
      </c>
      <c r="P48" s="11">
        <f t="shared" si="11"/>
        <v>6608555</v>
      </c>
      <c r="Q48" s="11">
        <f t="shared" si="11"/>
        <v>5205672</v>
      </c>
      <c r="R48" s="11">
        <f t="shared" si="11"/>
        <v>6888290</v>
      </c>
      <c r="S48" s="11">
        <f t="shared" si="11"/>
        <v>10411344</v>
      </c>
      <c r="T48" s="11">
        <f t="shared" si="11"/>
        <v>533540472</v>
      </c>
    </row>
    <row r="49" spans="1:20" x14ac:dyDescent="0.25">
      <c r="A49" s="8">
        <v>30503180401</v>
      </c>
      <c r="B49" s="8" t="s">
        <v>68</v>
      </c>
      <c r="C49" s="20">
        <v>100000000</v>
      </c>
      <c r="D49" s="15"/>
      <c r="E49" s="20">
        <f>20000000+5000000</f>
        <v>25000000</v>
      </c>
      <c r="F49" s="10"/>
      <c r="G49" s="14">
        <f>C49+D49-E49+F49</f>
        <v>75000000</v>
      </c>
      <c r="H49" s="16">
        <v>5895127</v>
      </c>
      <c r="I49" s="20">
        <v>5205672</v>
      </c>
      <c r="J49" s="21">
        <v>5895127</v>
      </c>
      <c r="K49" s="21">
        <v>5205672</v>
      </c>
      <c r="L49" s="21">
        <v>5205672</v>
      </c>
      <c r="M49" s="21">
        <v>6268562</v>
      </c>
      <c r="N49" s="21">
        <v>6199989</v>
      </c>
      <c r="O49" s="21">
        <v>5205372</v>
      </c>
      <c r="P49" s="21">
        <v>5205672</v>
      </c>
      <c r="Q49" s="21">
        <v>5205672</v>
      </c>
      <c r="R49" s="21">
        <v>5205672</v>
      </c>
      <c r="S49" s="21">
        <v>10411344</v>
      </c>
      <c r="T49" s="15">
        <f t="shared" ref="T49:T74" si="12">H49+I49+J49+K49+L49+M49+N49+O49+P49+Q49+R49+S49</f>
        <v>71109553</v>
      </c>
    </row>
    <row r="50" spans="1:20" x14ac:dyDescent="0.25">
      <c r="A50" s="8">
        <v>30503180402</v>
      </c>
      <c r="B50" s="8" t="s">
        <v>69</v>
      </c>
      <c r="C50" s="20">
        <v>1000000</v>
      </c>
      <c r="D50" s="15"/>
      <c r="E50" s="20"/>
      <c r="F50" s="10"/>
      <c r="G50" s="14">
        <f>C50+D50-E50+F50</f>
        <v>1000000</v>
      </c>
      <c r="H50" s="16"/>
      <c r="I50" s="19"/>
      <c r="J50" s="21"/>
      <c r="K50" s="21"/>
      <c r="L50" s="21"/>
      <c r="M50" s="21"/>
      <c r="N50" s="21">
        <v>0</v>
      </c>
      <c r="O50" s="21"/>
      <c r="P50" s="21"/>
      <c r="Q50" s="21"/>
      <c r="R50" s="21"/>
      <c r="S50" s="21"/>
      <c r="T50" s="15">
        <f t="shared" si="12"/>
        <v>0</v>
      </c>
    </row>
    <row r="51" spans="1:20" x14ac:dyDescent="0.25">
      <c r="A51" s="8">
        <v>30503180403</v>
      </c>
      <c r="B51" s="8" t="s">
        <v>70</v>
      </c>
      <c r="C51" s="20">
        <v>580000000</v>
      </c>
      <c r="D51" s="20">
        <v>55000000</v>
      </c>
      <c r="E51" s="20">
        <v>180000000</v>
      </c>
      <c r="G51" s="14">
        <f>C51+D51-E51+F51</f>
        <v>455000000</v>
      </c>
      <c r="H51" s="16">
        <v>13547476</v>
      </c>
      <c r="I51" s="13">
        <v>337148646</v>
      </c>
      <c r="J51" s="21">
        <v>1062890</v>
      </c>
      <c r="K51" s="21"/>
      <c r="L51" s="21">
        <v>2125780</v>
      </c>
      <c r="M51" s="21">
        <v>90000000</v>
      </c>
      <c r="N51" s="21">
        <v>1544923</v>
      </c>
      <c r="O51" s="21">
        <v>642268</v>
      </c>
      <c r="P51" s="21">
        <v>1402883</v>
      </c>
      <c r="Q51" s="21"/>
      <c r="R51" s="21">
        <v>1682618</v>
      </c>
      <c r="S51" s="21"/>
      <c r="T51" s="15">
        <f t="shared" si="12"/>
        <v>449157484</v>
      </c>
    </row>
    <row r="52" spans="1:20" x14ac:dyDescent="0.25">
      <c r="A52" s="8">
        <v>30503180404</v>
      </c>
      <c r="B52" s="8" t="s">
        <v>71</v>
      </c>
      <c r="C52" s="20">
        <v>22000000</v>
      </c>
      <c r="D52" s="22">
        <v>26000000</v>
      </c>
      <c r="E52" s="20">
        <f>26000000+5000000+3000000</f>
        <v>34000000</v>
      </c>
      <c r="F52" s="20"/>
      <c r="G52" s="14">
        <f>C52+D52-E52+F52</f>
        <v>14000000</v>
      </c>
      <c r="H52" s="16">
        <v>13118051</v>
      </c>
      <c r="I52" s="13">
        <v>56509</v>
      </c>
      <c r="J52" s="10"/>
      <c r="K52" s="10"/>
      <c r="L52" s="10"/>
      <c r="M52" s="10"/>
      <c r="N52" s="21">
        <v>98875</v>
      </c>
      <c r="O52" s="21"/>
      <c r="P52" s="21"/>
      <c r="Q52" s="21"/>
      <c r="R52" s="21"/>
      <c r="S52" s="21"/>
      <c r="T52" s="15">
        <f t="shared" si="12"/>
        <v>13273435</v>
      </c>
    </row>
    <row r="53" spans="1:20" x14ac:dyDescent="0.25">
      <c r="A53" s="8"/>
      <c r="B53" s="8" t="s">
        <v>72</v>
      </c>
      <c r="C53" s="20">
        <f>SUM(C54:C56)</f>
        <v>305000000</v>
      </c>
      <c r="D53" s="23">
        <f>SUM(D54:D56)</f>
        <v>10000000</v>
      </c>
      <c r="E53" s="23">
        <f>SUM(E54:E56)</f>
        <v>113447800</v>
      </c>
      <c r="F53" s="20"/>
      <c r="G53" s="11">
        <f t="shared" ref="G53:T53" si="13">SUM(G54:G56)</f>
        <v>201552200</v>
      </c>
      <c r="H53" s="11">
        <f t="shared" si="13"/>
        <v>13648617</v>
      </c>
      <c r="I53" s="11">
        <f t="shared" si="13"/>
        <v>22360922</v>
      </c>
      <c r="J53" s="11">
        <f t="shared" si="13"/>
        <v>10862682</v>
      </c>
      <c r="K53" s="11">
        <f t="shared" si="13"/>
        <v>13018497</v>
      </c>
      <c r="L53" s="11">
        <f t="shared" si="13"/>
        <v>24177963</v>
      </c>
      <c r="M53" s="11">
        <f t="shared" si="13"/>
        <v>227128</v>
      </c>
      <c r="N53" s="11">
        <f t="shared" si="13"/>
        <v>8795411</v>
      </c>
      <c r="O53" s="11">
        <f t="shared" si="13"/>
        <v>18092559</v>
      </c>
      <c r="P53" s="11">
        <f t="shared" si="13"/>
        <v>9281725</v>
      </c>
      <c r="Q53" s="11">
        <f t="shared" si="13"/>
        <v>7578374</v>
      </c>
      <c r="R53" s="11">
        <f t="shared" si="13"/>
        <v>18768830</v>
      </c>
      <c r="S53" s="11">
        <f t="shared" si="13"/>
        <v>9707004</v>
      </c>
      <c r="T53" s="11">
        <f t="shared" si="13"/>
        <v>156519712</v>
      </c>
    </row>
    <row r="54" spans="1:20" x14ac:dyDescent="0.25">
      <c r="A54" s="8">
        <v>30503180405</v>
      </c>
      <c r="B54" s="8" t="s">
        <v>73</v>
      </c>
      <c r="C54" s="20">
        <v>50000000</v>
      </c>
      <c r="D54" s="22"/>
      <c r="E54" s="15">
        <f>20975370+10000000+10000000</f>
        <v>40975370</v>
      </c>
      <c r="F54" s="20"/>
      <c r="G54" s="14">
        <f>C54+D54-E54+F54</f>
        <v>9024630</v>
      </c>
      <c r="H54" s="16"/>
      <c r="I54" s="19"/>
      <c r="J54" s="10"/>
      <c r="K54" s="10"/>
      <c r="L54" s="10"/>
      <c r="M54" s="10"/>
      <c r="N54" s="10">
        <v>0</v>
      </c>
      <c r="O54" s="10"/>
      <c r="P54" s="10"/>
      <c r="Q54" s="10"/>
      <c r="R54" s="10"/>
      <c r="S54" s="21">
        <v>6498369</v>
      </c>
      <c r="T54" s="15">
        <f t="shared" si="12"/>
        <v>6498369</v>
      </c>
    </row>
    <row r="55" spans="1:20" x14ac:dyDescent="0.25">
      <c r="A55" s="8">
        <v>30503180406</v>
      </c>
      <c r="B55" s="8" t="s">
        <v>74</v>
      </c>
      <c r="C55" s="20">
        <v>95000000</v>
      </c>
      <c r="D55" s="22">
        <v>10000000</v>
      </c>
      <c r="E55" s="15">
        <f>45000000+7472430</f>
        <v>52472430</v>
      </c>
      <c r="F55" s="20"/>
      <c r="G55" s="14">
        <f>C55+D55-E55+F55</f>
        <v>52527570</v>
      </c>
      <c r="H55" s="16"/>
      <c r="I55" s="13">
        <v>400000</v>
      </c>
      <c r="J55" s="10"/>
      <c r="K55" s="24">
        <v>8190528</v>
      </c>
      <c r="L55" s="10"/>
      <c r="M55" s="10"/>
      <c r="N55" s="21">
        <v>700000</v>
      </c>
      <c r="O55" s="21">
        <v>1050000</v>
      </c>
      <c r="P55" s="21">
        <v>1200000</v>
      </c>
      <c r="Q55" s="21">
        <v>792000</v>
      </c>
      <c r="R55" s="21">
        <v>10000000</v>
      </c>
      <c r="S55" s="21"/>
      <c r="T55" s="15">
        <f t="shared" si="12"/>
        <v>22332528</v>
      </c>
    </row>
    <row r="56" spans="1:20" x14ac:dyDescent="0.25">
      <c r="A56" s="8">
        <v>30503180407</v>
      </c>
      <c r="B56" s="8" t="s">
        <v>75</v>
      </c>
      <c r="C56" s="20">
        <v>160000000</v>
      </c>
      <c r="D56" s="22"/>
      <c r="E56" s="15">
        <v>20000000</v>
      </c>
      <c r="F56" s="20"/>
      <c r="G56" s="14">
        <f>C56+D56-E56+F56</f>
        <v>140000000</v>
      </c>
      <c r="H56" s="16">
        <v>13648617</v>
      </c>
      <c r="I56" s="13">
        <v>21960922</v>
      </c>
      <c r="J56" s="21">
        <v>10862682</v>
      </c>
      <c r="K56" s="21">
        <v>4827969</v>
      </c>
      <c r="L56" s="21">
        <v>24177963</v>
      </c>
      <c r="M56" s="21">
        <v>227128</v>
      </c>
      <c r="N56" s="21">
        <v>8095411</v>
      </c>
      <c r="O56" s="21">
        <v>17042559</v>
      </c>
      <c r="P56" s="21">
        <v>8081725</v>
      </c>
      <c r="Q56" s="21">
        <v>6786374</v>
      </c>
      <c r="R56" s="21">
        <v>8768830</v>
      </c>
      <c r="S56" s="21">
        <v>3208635</v>
      </c>
      <c r="T56" s="15">
        <f t="shared" si="12"/>
        <v>127688815</v>
      </c>
    </row>
    <row r="57" spans="1:20" ht="18.75" x14ac:dyDescent="0.3">
      <c r="A57" s="8"/>
      <c r="B57" s="9" t="s">
        <v>76</v>
      </c>
      <c r="C57" s="25">
        <f t="shared" ref="C57:S57" si="14">C5+C17+C22+C30+C37+C48+C53</f>
        <v>8120000000</v>
      </c>
      <c r="D57" s="25">
        <f t="shared" si="14"/>
        <v>1231810194</v>
      </c>
      <c r="E57" s="25">
        <f t="shared" si="14"/>
        <v>1231810194</v>
      </c>
      <c r="F57" s="25">
        <f t="shared" si="14"/>
        <v>78662250</v>
      </c>
      <c r="G57" s="25">
        <f t="shared" si="14"/>
        <v>8198662250</v>
      </c>
      <c r="H57" s="25">
        <f t="shared" si="14"/>
        <v>429187102</v>
      </c>
      <c r="I57" s="25">
        <f t="shared" si="14"/>
        <v>818947518</v>
      </c>
      <c r="J57" s="25">
        <f t="shared" si="14"/>
        <v>1335835265</v>
      </c>
      <c r="K57" s="25">
        <f t="shared" si="14"/>
        <v>709282180</v>
      </c>
      <c r="L57" s="25">
        <f t="shared" si="14"/>
        <v>409504690</v>
      </c>
      <c r="M57" s="25">
        <f t="shared" si="14"/>
        <v>722752216</v>
      </c>
      <c r="N57" s="25">
        <f t="shared" si="14"/>
        <v>842603435</v>
      </c>
      <c r="O57" s="25">
        <f t="shared" si="14"/>
        <v>543112171</v>
      </c>
      <c r="P57" s="25">
        <f t="shared" si="14"/>
        <v>528916541</v>
      </c>
      <c r="Q57" s="25">
        <f t="shared" si="14"/>
        <v>333888579</v>
      </c>
      <c r="R57" s="25">
        <f t="shared" si="14"/>
        <v>500349518</v>
      </c>
      <c r="S57" s="25">
        <f t="shared" si="14"/>
        <v>697736894</v>
      </c>
      <c r="T57" s="25">
        <f>T5+T17+T22+T30+T37+T48+T53</f>
        <v>7872116109</v>
      </c>
    </row>
    <row r="58" spans="1:20" x14ac:dyDescent="0.25">
      <c r="A58" s="8"/>
      <c r="B58" s="8" t="s">
        <v>77</v>
      </c>
      <c r="C58" s="16">
        <v>0</v>
      </c>
      <c r="D58" s="26"/>
      <c r="E58" s="10"/>
      <c r="F58" s="10"/>
      <c r="G58" s="10"/>
      <c r="H58" s="16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5">
        <f t="shared" si="12"/>
        <v>0</v>
      </c>
    </row>
    <row r="59" spans="1:20" x14ac:dyDescent="0.25">
      <c r="A59" s="8">
        <v>305061804</v>
      </c>
      <c r="B59" s="8" t="s">
        <v>78</v>
      </c>
      <c r="C59" s="16">
        <v>0</v>
      </c>
      <c r="D59" s="10"/>
      <c r="E59" s="10"/>
      <c r="F59" s="10"/>
      <c r="G59" s="14">
        <f>C59+D59-E59+F59</f>
        <v>0</v>
      </c>
      <c r="H59" s="16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5">
        <f t="shared" si="12"/>
        <v>0</v>
      </c>
    </row>
    <row r="60" spans="1:20" x14ac:dyDescent="0.25">
      <c r="A60" s="8">
        <v>30506180401</v>
      </c>
      <c r="B60" s="8" t="s">
        <v>79</v>
      </c>
      <c r="C60" s="16">
        <v>0</v>
      </c>
      <c r="D60" s="10"/>
      <c r="E60" s="16"/>
      <c r="F60" s="10"/>
      <c r="G60" s="14">
        <f>C60+D60-E60+F60</f>
        <v>0</v>
      </c>
      <c r="H60" s="16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5">
        <f t="shared" si="12"/>
        <v>0</v>
      </c>
    </row>
    <row r="61" spans="1:20" x14ac:dyDescent="0.25">
      <c r="A61" s="8">
        <v>30506180402</v>
      </c>
      <c r="B61" s="8" t="s">
        <v>80</v>
      </c>
      <c r="C61" s="16">
        <v>0</v>
      </c>
      <c r="D61" s="10"/>
      <c r="E61" s="10"/>
      <c r="F61" s="10"/>
      <c r="G61" s="14">
        <f>C61+D61-E61+F61</f>
        <v>0</v>
      </c>
      <c r="H61" s="16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5">
        <f t="shared" si="12"/>
        <v>0</v>
      </c>
    </row>
    <row r="62" spans="1:20" x14ac:dyDescent="0.25">
      <c r="A62" s="8"/>
      <c r="B62" s="8" t="s">
        <v>81</v>
      </c>
      <c r="C62" s="16">
        <v>0</v>
      </c>
      <c r="D62" s="10"/>
      <c r="E62" s="10"/>
      <c r="F62" s="10"/>
      <c r="G62" s="10"/>
      <c r="H62" s="16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5">
        <f t="shared" si="12"/>
        <v>0</v>
      </c>
    </row>
    <row r="63" spans="1:20" x14ac:dyDescent="0.25">
      <c r="A63" s="8"/>
      <c r="B63" s="8" t="s">
        <v>82</v>
      </c>
      <c r="C63" s="10"/>
      <c r="D63" s="10"/>
      <c r="E63" s="10"/>
      <c r="F63" s="10"/>
      <c r="G63" s="10"/>
      <c r="H63" s="16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5">
        <f t="shared" si="12"/>
        <v>0</v>
      </c>
    </row>
    <row r="64" spans="1:20" x14ac:dyDescent="0.25">
      <c r="A64" s="8">
        <v>30507180401</v>
      </c>
      <c r="B64" s="8" t="s">
        <v>83</v>
      </c>
      <c r="C64" s="20">
        <v>200000000</v>
      </c>
      <c r="D64" s="20">
        <v>240300000</v>
      </c>
      <c r="E64" s="20">
        <v>419500000</v>
      </c>
      <c r="F64" s="20">
        <v>506818084.30000001</v>
      </c>
      <c r="G64" s="14">
        <f t="shared" ref="G64:G74" si="15">C64+D64-E64+F64</f>
        <v>527618084.30000001</v>
      </c>
      <c r="H64" s="16">
        <v>0</v>
      </c>
      <c r="I64" s="10"/>
      <c r="J64" s="21"/>
      <c r="K64" s="21">
        <v>20800000</v>
      </c>
      <c r="L64" s="21">
        <v>458421414</v>
      </c>
      <c r="M64" s="21"/>
      <c r="N64" s="21"/>
      <c r="O64" s="21"/>
      <c r="P64" s="21"/>
      <c r="Q64" s="21"/>
      <c r="R64" s="21"/>
      <c r="S64" s="21"/>
      <c r="T64" s="15">
        <f t="shared" si="12"/>
        <v>479221414</v>
      </c>
    </row>
    <row r="65" spans="1:20" x14ac:dyDescent="0.25">
      <c r="A65" s="8">
        <v>30507180402</v>
      </c>
      <c r="B65" s="8" t="s">
        <v>84</v>
      </c>
      <c r="C65" s="20">
        <v>800000000</v>
      </c>
      <c r="D65" s="20"/>
      <c r="E65" s="20">
        <f>46000000+593800000</f>
        <v>639800000</v>
      </c>
      <c r="F65" s="20"/>
      <c r="G65" s="14">
        <f t="shared" si="15"/>
        <v>160200000</v>
      </c>
      <c r="H65" s="16">
        <v>0</v>
      </c>
      <c r="I65" s="10"/>
      <c r="J65" s="21">
        <f>30000000+19200000</f>
        <v>49200000</v>
      </c>
      <c r="K65" s="21"/>
      <c r="L65" s="21">
        <v>0</v>
      </c>
      <c r="M65" s="21">
        <f>30000000+78510069</f>
        <v>108510069</v>
      </c>
      <c r="N65" s="21"/>
      <c r="O65" s="21"/>
      <c r="P65" s="21"/>
      <c r="Q65" s="21"/>
      <c r="R65" s="21"/>
      <c r="S65" s="21"/>
      <c r="T65" s="15">
        <f t="shared" si="12"/>
        <v>157710069</v>
      </c>
    </row>
    <row r="66" spans="1:20" x14ac:dyDescent="0.25">
      <c r="A66" s="8">
        <v>30507180403</v>
      </c>
      <c r="B66" s="8" t="s">
        <v>85</v>
      </c>
      <c r="C66" s="20">
        <v>680000000</v>
      </c>
      <c r="D66" s="20">
        <v>60000000</v>
      </c>
      <c r="E66" s="20">
        <v>367215000</v>
      </c>
      <c r="F66" s="20">
        <v>83450000</v>
      </c>
      <c r="G66" s="14">
        <f t="shared" si="15"/>
        <v>456235000</v>
      </c>
      <c r="H66" s="16">
        <v>0</v>
      </c>
      <c r="I66" s="10"/>
      <c r="J66" s="21"/>
      <c r="K66" s="21">
        <v>199500000</v>
      </c>
      <c r="L66" s="21">
        <f>125680000+83450000</f>
        <v>209130000</v>
      </c>
      <c r="M66" s="21">
        <v>46400000</v>
      </c>
      <c r="N66" s="21"/>
      <c r="O66" s="21"/>
      <c r="P66" s="21"/>
      <c r="Q66" s="21"/>
      <c r="R66" s="21"/>
      <c r="S66" s="21"/>
      <c r="T66" s="15">
        <f t="shared" si="12"/>
        <v>455030000</v>
      </c>
    </row>
    <row r="67" spans="1:20" x14ac:dyDescent="0.25">
      <c r="A67" s="8">
        <v>30507180404</v>
      </c>
      <c r="B67" s="8" t="s">
        <v>86</v>
      </c>
      <c r="C67" s="20">
        <v>100000000</v>
      </c>
      <c r="D67" s="20"/>
      <c r="E67" s="20">
        <f>50000000+50000000</f>
        <v>100000000</v>
      </c>
      <c r="F67" s="20"/>
      <c r="G67" s="14">
        <f t="shared" si="15"/>
        <v>0</v>
      </c>
      <c r="H67" s="16">
        <v>0</v>
      </c>
      <c r="I67" s="10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15">
        <f t="shared" si="12"/>
        <v>0</v>
      </c>
    </row>
    <row r="68" spans="1:20" x14ac:dyDescent="0.25">
      <c r="A68" s="8">
        <v>30507180405</v>
      </c>
      <c r="B68" s="8" t="s">
        <v>87</v>
      </c>
      <c r="C68" s="20">
        <v>500000000</v>
      </c>
      <c r="D68" s="20"/>
      <c r="E68" s="20">
        <f>342000000+158000000</f>
        <v>500000000</v>
      </c>
      <c r="F68" s="20">
        <v>83973782</v>
      </c>
      <c r="G68" s="14">
        <f t="shared" si="15"/>
        <v>83973782</v>
      </c>
      <c r="H68" s="16">
        <v>0</v>
      </c>
      <c r="I68" s="10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15">
        <f t="shared" si="12"/>
        <v>0</v>
      </c>
    </row>
    <row r="69" spans="1:20" x14ac:dyDescent="0.25">
      <c r="A69" s="8">
        <v>30507180406</v>
      </c>
      <c r="B69" s="8" t="s">
        <v>88</v>
      </c>
      <c r="C69" s="20">
        <v>550000000</v>
      </c>
      <c r="D69" s="20">
        <v>137700000</v>
      </c>
      <c r="E69" s="20">
        <v>575531200</v>
      </c>
      <c r="F69" s="20">
        <v>57400000</v>
      </c>
      <c r="G69" s="14">
        <f t="shared" si="15"/>
        <v>169568800</v>
      </c>
      <c r="H69" s="16">
        <v>0</v>
      </c>
      <c r="I69" s="10"/>
      <c r="J69" s="21">
        <v>43750000</v>
      </c>
      <c r="K69" s="21">
        <v>27168800</v>
      </c>
      <c r="L69" s="21"/>
      <c r="M69" s="21">
        <v>1250000</v>
      </c>
      <c r="N69" s="21">
        <v>97356200</v>
      </c>
      <c r="O69" s="21"/>
      <c r="P69" s="21"/>
      <c r="Q69" s="21"/>
      <c r="R69" s="21"/>
      <c r="S69" s="21"/>
      <c r="T69" s="15">
        <f t="shared" si="12"/>
        <v>169525000</v>
      </c>
    </row>
    <row r="70" spans="1:20" x14ac:dyDescent="0.25">
      <c r="A70" s="8">
        <v>30507180407</v>
      </c>
      <c r="B70" s="8" t="s">
        <v>89</v>
      </c>
      <c r="C70" s="10"/>
      <c r="D70" s="20">
        <v>0</v>
      </c>
      <c r="E70" s="27"/>
      <c r="F70" s="10"/>
      <c r="G70" s="14">
        <f t="shared" si="15"/>
        <v>0</v>
      </c>
      <c r="H70" s="10"/>
      <c r="I70" s="10"/>
      <c r="J70" s="10"/>
      <c r="K70" s="10"/>
      <c r="L70" s="10"/>
      <c r="M70" s="10"/>
      <c r="N70" s="10"/>
      <c r="O70" s="21"/>
      <c r="P70" s="21"/>
      <c r="Q70" s="21"/>
      <c r="R70" s="21"/>
      <c r="S70" s="21"/>
      <c r="T70" s="15">
        <f t="shared" si="12"/>
        <v>0</v>
      </c>
    </row>
    <row r="71" spans="1:20" x14ac:dyDescent="0.25">
      <c r="A71" s="8">
        <v>30507180408</v>
      </c>
      <c r="B71" s="8" t="s">
        <v>90</v>
      </c>
      <c r="C71" s="10"/>
      <c r="D71" s="20">
        <v>915346200</v>
      </c>
      <c r="E71" s="28">
        <f>129499922+12428240</f>
        <v>141928162</v>
      </c>
      <c r="F71" s="10"/>
      <c r="G71" s="14">
        <f t="shared" si="15"/>
        <v>773418038</v>
      </c>
      <c r="H71" s="10"/>
      <c r="I71" s="10"/>
      <c r="J71" s="10"/>
      <c r="K71" s="10"/>
      <c r="L71" s="10"/>
      <c r="M71" s="10"/>
      <c r="N71" s="10"/>
      <c r="O71" s="21">
        <v>30000000</v>
      </c>
      <c r="P71" s="21">
        <v>60300012</v>
      </c>
      <c r="Q71" s="21">
        <v>324418468</v>
      </c>
      <c r="R71" s="21">
        <v>320153720</v>
      </c>
      <c r="S71" s="21"/>
      <c r="T71" s="15">
        <f t="shared" si="12"/>
        <v>734872200</v>
      </c>
    </row>
    <row r="72" spans="1:20" x14ac:dyDescent="0.25">
      <c r="A72" s="8">
        <v>30507180409</v>
      </c>
      <c r="B72" s="8" t="s">
        <v>91</v>
      </c>
      <c r="C72" s="10"/>
      <c r="D72" s="20">
        <v>158000000</v>
      </c>
      <c r="E72" s="28"/>
      <c r="F72" s="10"/>
      <c r="G72" s="14">
        <f t="shared" si="15"/>
        <v>158000000</v>
      </c>
      <c r="H72" s="10"/>
      <c r="I72" s="10"/>
      <c r="J72" s="10"/>
      <c r="K72" s="10"/>
      <c r="L72" s="10"/>
      <c r="M72" s="10"/>
      <c r="N72" s="10"/>
      <c r="O72" s="21">
        <v>152600000</v>
      </c>
      <c r="P72" s="21"/>
      <c r="Q72" s="21"/>
      <c r="R72" s="21"/>
      <c r="S72" s="21"/>
      <c r="T72" s="15">
        <f t="shared" si="12"/>
        <v>152600000</v>
      </c>
    </row>
    <row r="73" spans="1:20" x14ac:dyDescent="0.25">
      <c r="A73" s="8">
        <v>30507180410</v>
      </c>
      <c r="B73" s="8" t="s">
        <v>85</v>
      </c>
      <c r="C73" s="10"/>
      <c r="D73" s="20">
        <v>354400000</v>
      </c>
      <c r="E73" s="10"/>
      <c r="F73" s="10"/>
      <c r="G73" s="14">
        <f t="shared" si="15"/>
        <v>354400000</v>
      </c>
      <c r="H73" s="10"/>
      <c r="I73" s="10"/>
      <c r="J73" s="10"/>
      <c r="K73" s="10"/>
      <c r="L73" s="10"/>
      <c r="M73" s="10"/>
      <c r="N73" s="10"/>
      <c r="O73" s="21">
        <v>56000000</v>
      </c>
      <c r="P73" s="21">
        <v>217900000</v>
      </c>
      <c r="Q73" s="21">
        <v>50500000</v>
      </c>
      <c r="R73" s="21">
        <v>30000000</v>
      </c>
      <c r="S73" s="21"/>
      <c r="T73" s="15">
        <f t="shared" si="12"/>
        <v>354400000</v>
      </c>
    </row>
    <row r="74" spans="1:20" x14ac:dyDescent="0.25">
      <c r="A74" s="8">
        <v>30507180411</v>
      </c>
      <c r="B74" s="8" t="s">
        <v>92</v>
      </c>
      <c r="C74" s="10"/>
      <c r="D74" s="20">
        <f>736300000+129499922+12428240</f>
        <v>878228162</v>
      </c>
      <c r="E74" s="10"/>
      <c r="F74" s="10"/>
      <c r="G74" s="14">
        <f t="shared" si="15"/>
        <v>878228162</v>
      </c>
      <c r="H74" s="10"/>
      <c r="I74" s="10"/>
      <c r="J74" s="10"/>
      <c r="K74" s="10"/>
      <c r="L74" s="10"/>
      <c r="M74" s="10"/>
      <c r="N74" s="10"/>
      <c r="O74" s="21">
        <v>146886025</v>
      </c>
      <c r="P74" s="21">
        <v>75000000</v>
      </c>
      <c r="Q74" s="21">
        <v>490819884</v>
      </c>
      <c r="R74" s="21">
        <v>12500000</v>
      </c>
      <c r="S74" s="21">
        <f>129499922+12428240</f>
        <v>141928162</v>
      </c>
      <c r="T74" s="15">
        <f t="shared" si="12"/>
        <v>867134071</v>
      </c>
    </row>
    <row r="75" spans="1:20" ht="18.75" x14ac:dyDescent="0.3">
      <c r="A75" s="8"/>
      <c r="B75" s="9" t="s">
        <v>93</v>
      </c>
      <c r="C75" s="29">
        <f t="shared" ref="C75:S75" si="16">C64+C65+C66+C67+C68+C69+C70+C71+C72+C73+C74</f>
        <v>2830000000</v>
      </c>
      <c r="D75" s="29">
        <f t="shared" si="16"/>
        <v>2743974362</v>
      </c>
      <c r="E75" s="29">
        <f t="shared" si="16"/>
        <v>2743974362</v>
      </c>
      <c r="F75" s="29">
        <f t="shared" si="16"/>
        <v>731641866.29999995</v>
      </c>
      <c r="G75" s="29">
        <f t="shared" si="16"/>
        <v>3561641866.3000002</v>
      </c>
      <c r="H75" s="29">
        <f t="shared" si="16"/>
        <v>0</v>
      </c>
      <c r="I75" s="29">
        <f t="shared" si="16"/>
        <v>0</v>
      </c>
      <c r="J75" s="29">
        <f t="shared" si="16"/>
        <v>92950000</v>
      </c>
      <c r="K75" s="29">
        <f t="shared" si="16"/>
        <v>247468800</v>
      </c>
      <c r="L75" s="29">
        <f t="shared" si="16"/>
        <v>667551414</v>
      </c>
      <c r="M75" s="29">
        <f t="shared" si="16"/>
        <v>156160069</v>
      </c>
      <c r="N75" s="29">
        <f t="shared" si="16"/>
        <v>97356200</v>
      </c>
      <c r="O75" s="29">
        <f t="shared" si="16"/>
        <v>385486025</v>
      </c>
      <c r="P75" s="29">
        <f t="shared" si="16"/>
        <v>353200012</v>
      </c>
      <c r="Q75" s="29">
        <f t="shared" si="16"/>
        <v>865738352</v>
      </c>
      <c r="R75" s="29">
        <f t="shared" si="16"/>
        <v>362653720</v>
      </c>
      <c r="S75" s="29">
        <f t="shared" si="16"/>
        <v>141928162</v>
      </c>
      <c r="T75" s="29">
        <f>T64+T65+T66+T67+T68+T69+T70+T71+T72+T73+T74</f>
        <v>3370492754</v>
      </c>
    </row>
    <row r="76" spans="1:20" ht="18.75" x14ac:dyDescent="0.3">
      <c r="A76" s="30" t="s">
        <v>94</v>
      </c>
      <c r="B76" s="31"/>
      <c r="C76" s="29">
        <f t="shared" ref="C76:S76" si="17">C57+C75</f>
        <v>10950000000</v>
      </c>
      <c r="D76" s="29">
        <f t="shared" si="17"/>
        <v>3975784556</v>
      </c>
      <c r="E76" s="29">
        <f t="shared" si="17"/>
        <v>3975784556</v>
      </c>
      <c r="F76" s="29">
        <f t="shared" si="17"/>
        <v>810304116.29999995</v>
      </c>
      <c r="G76" s="29">
        <f t="shared" si="17"/>
        <v>11760304116.299999</v>
      </c>
      <c r="H76" s="29">
        <f t="shared" si="17"/>
        <v>429187102</v>
      </c>
      <c r="I76" s="29">
        <f t="shared" si="17"/>
        <v>818947518</v>
      </c>
      <c r="J76" s="29">
        <f t="shared" si="17"/>
        <v>1428785265</v>
      </c>
      <c r="K76" s="29">
        <f t="shared" si="17"/>
        <v>956750980</v>
      </c>
      <c r="L76" s="29">
        <f t="shared" si="17"/>
        <v>1077056104</v>
      </c>
      <c r="M76" s="29">
        <f t="shared" si="17"/>
        <v>878912285</v>
      </c>
      <c r="N76" s="29">
        <f t="shared" si="17"/>
        <v>939959635</v>
      </c>
      <c r="O76" s="29">
        <f t="shared" si="17"/>
        <v>928598196</v>
      </c>
      <c r="P76" s="29">
        <f t="shared" si="17"/>
        <v>882116553</v>
      </c>
      <c r="Q76" s="29">
        <f t="shared" si="17"/>
        <v>1199626931</v>
      </c>
      <c r="R76" s="29">
        <f t="shared" si="17"/>
        <v>863003238</v>
      </c>
      <c r="S76" s="29">
        <f t="shared" si="17"/>
        <v>839665056</v>
      </c>
      <c r="T76" s="29">
        <f>T57+T75</f>
        <v>11242608863</v>
      </c>
    </row>
  </sheetData>
  <mergeCells count="20">
    <mergeCell ref="T1:T2"/>
    <mergeCell ref="A76:B76"/>
    <mergeCell ref="N1:N2"/>
    <mergeCell ref="O1:O2"/>
    <mergeCell ref="P1:P2"/>
    <mergeCell ref="Q1:Q2"/>
    <mergeCell ref="R1:R2"/>
    <mergeCell ref="S1:S2"/>
    <mergeCell ref="H1:H2"/>
    <mergeCell ref="I1:I2"/>
    <mergeCell ref="J1:J2"/>
    <mergeCell ref="K1:K2"/>
    <mergeCell ref="L1:L2"/>
    <mergeCell ref="M1:M2"/>
    <mergeCell ref="A1:A2"/>
    <mergeCell ref="B1:B2"/>
    <mergeCell ref="C1:C2"/>
    <mergeCell ref="D1:E1"/>
    <mergeCell ref="F1:F2"/>
    <mergeCell ref="G1:G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workbookViewId="0">
      <selection activeCell="G11" sqref="G11"/>
    </sheetView>
  </sheetViews>
  <sheetFormatPr baseColWidth="10" defaultRowHeight="15" x14ac:dyDescent="0.25"/>
  <sheetData>
    <row r="1" spans="1:19" x14ac:dyDescent="0.25">
      <c r="A1" s="32" t="s">
        <v>95</v>
      </c>
      <c r="B1" s="32" t="s">
        <v>96</v>
      </c>
      <c r="C1" s="32" t="s">
        <v>97</v>
      </c>
      <c r="D1" s="32" t="s">
        <v>98</v>
      </c>
      <c r="E1" s="32" t="s">
        <v>99</v>
      </c>
      <c r="F1" s="32" t="s">
        <v>100</v>
      </c>
      <c r="G1" s="32" t="s">
        <v>101</v>
      </c>
      <c r="H1" s="32" t="s">
        <v>102</v>
      </c>
      <c r="I1" s="32" t="s">
        <v>103</v>
      </c>
      <c r="J1" s="32" t="s">
        <v>104</v>
      </c>
      <c r="K1" s="32" t="s">
        <v>105</v>
      </c>
      <c r="L1" s="32" t="s">
        <v>106</v>
      </c>
      <c r="M1" s="32" t="s">
        <v>107</v>
      </c>
      <c r="N1" s="32" t="s">
        <v>108</v>
      </c>
      <c r="O1" s="32" t="s">
        <v>109</v>
      </c>
      <c r="P1" s="32" t="s">
        <v>110</v>
      </c>
      <c r="Q1" s="32" t="s">
        <v>111</v>
      </c>
      <c r="R1" s="32" t="s">
        <v>112</v>
      </c>
      <c r="S1" s="32" t="s">
        <v>113</v>
      </c>
    </row>
    <row r="2" spans="1:19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x14ac:dyDescent="0.25">
      <c r="A3" s="10"/>
      <c r="B3" s="34">
        <v>1.1000000000000001</v>
      </c>
      <c r="C3" s="35" t="s">
        <v>114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x14ac:dyDescent="0.25">
      <c r="A4" s="10" t="s">
        <v>115</v>
      </c>
      <c r="B4" s="36" t="s">
        <v>116</v>
      </c>
      <c r="C4" s="37" t="s">
        <v>117</v>
      </c>
      <c r="D4" s="38">
        <v>1300000000</v>
      </c>
      <c r="E4" s="10"/>
      <c r="F4" s="38">
        <f>D4+E4</f>
        <v>1300000000</v>
      </c>
      <c r="G4" s="38"/>
      <c r="H4" s="10"/>
      <c r="I4" s="38">
        <v>217854149</v>
      </c>
      <c r="J4" s="10"/>
      <c r="K4" s="10"/>
      <c r="L4" s="10"/>
      <c r="M4" s="38">
        <v>621443000</v>
      </c>
      <c r="N4" s="38">
        <v>0</v>
      </c>
      <c r="O4" s="38">
        <v>340561751</v>
      </c>
      <c r="P4" s="38">
        <v>104019153.8</v>
      </c>
      <c r="R4" s="38">
        <f>77000000+15412393</f>
        <v>92412393</v>
      </c>
      <c r="S4" s="38">
        <f>G4+H4+I4+J4+K4+L4+M4+N4+O4+P4+Q4+R4</f>
        <v>1376290446.8</v>
      </c>
    </row>
    <row r="5" spans="1:19" x14ac:dyDescent="0.25">
      <c r="A5" s="10"/>
      <c r="B5" s="34">
        <v>1.2</v>
      </c>
      <c r="C5" s="35" t="s">
        <v>118</v>
      </c>
      <c r="D5" s="10"/>
      <c r="E5" s="10"/>
      <c r="F5" s="10"/>
      <c r="G5" s="38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x14ac:dyDescent="0.25">
      <c r="A6" s="10" t="s">
        <v>119</v>
      </c>
      <c r="B6" s="36" t="s">
        <v>120</v>
      </c>
      <c r="C6" s="37" t="s">
        <v>121</v>
      </c>
      <c r="D6" s="38">
        <v>2517000000</v>
      </c>
      <c r="E6" s="10"/>
      <c r="F6" s="38">
        <f t="shared" ref="F6:F46" si="0">D6+E6</f>
        <v>2517000000</v>
      </c>
      <c r="G6" s="38">
        <f>106598188</f>
        <v>106598188</v>
      </c>
      <c r="H6" s="38">
        <f>93722811</f>
        <v>93722811</v>
      </c>
      <c r="I6" s="38">
        <v>86148339</v>
      </c>
      <c r="J6" s="38">
        <v>97536907</v>
      </c>
      <c r="K6" s="38">
        <f>98211091</f>
        <v>98211091</v>
      </c>
      <c r="L6" s="38">
        <v>90286507</v>
      </c>
      <c r="M6" s="38">
        <f>37197665+49663065+848118+15864112+5144062</f>
        <v>108717022</v>
      </c>
      <c r="N6" s="38">
        <f>103903672+23205848+12469866</f>
        <v>139579386</v>
      </c>
      <c r="O6" s="38">
        <f>93216470+26256489</f>
        <v>119472959</v>
      </c>
      <c r="P6" s="38">
        <v>70899308</v>
      </c>
      <c r="Q6" s="38">
        <f>67816905+18096440+6655979</f>
        <v>92569324</v>
      </c>
      <c r="R6" s="38">
        <f>69067176+18626797+8532119</f>
        <v>96226092</v>
      </c>
      <c r="S6" s="38">
        <f t="shared" ref="S6:S46" si="1">G6+H6+I6+J6+K6+L6+M6+N6+O6+P6+Q6+R6</f>
        <v>1199967934</v>
      </c>
    </row>
    <row r="7" spans="1:19" x14ac:dyDescent="0.25">
      <c r="A7" s="10" t="s">
        <v>122</v>
      </c>
      <c r="B7" s="36" t="s">
        <v>123</v>
      </c>
      <c r="C7" s="37" t="s">
        <v>124</v>
      </c>
      <c r="D7" s="38">
        <v>330000000</v>
      </c>
      <c r="E7" s="10"/>
      <c r="F7" s="38">
        <f t="shared" si="0"/>
        <v>330000000</v>
      </c>
      <c r="G7" s="38">
        <v>42761974</v>
      </c>
      <c r="H7" s="38">
        <v>40873742</v>
      </c>
      <c r="I7" s="38">
        <f>39486014-8367904</f>
        <v>31118110</v>
      </c>
      <c r="J7" s="38">
        <v>41924157</v>
      </c>
      <c r="K7" s="38">
        <v>39561362</v>
      </c>
      <c r="L7" s="38">
        <v>44045202</v>
      </c>
      <c r="M7" s="38">
        <f>13670427+7154616+2044176+6558398+3406960+2214524</f>
        <v>35049101</v>
      </c>
      <c r="N7" s="38">
        <v>39478149</v>
      </c>
      <c r="O7" s="38">
        <f>13755601+8006356+1788654+4769744+7537899+4045765</f>
        <v>39904019</v>
      </c>
      <c r="P7" s="38">
        <v>35773080</v>
      </c>
      <c r="Q7" s="38">
        <v>14821706</v>
      </c>
      <c r="R7" s="38">
        <v>20406670</v>
      </c>
      <c r="S7" s="38">
        <f t="shared" si="1"/>
        <v>425717272</v>
      </c>
    </row>
    <row r="8" spans="1:19" x14ac:dyDescent="0.25">
      <c r="A8" s="10" t="s">
        <v>125</v>
      </c>
      <c r="B8" s="36" t="s">
        <v>126</v>
      </c>
      <c r="C8" s="37" t="s">
        <v>127</v>
      </c>
      <c r="D8" s="38">
        <v>55000000</v>
      </c>
      <c r="E8" s="10"/>
      <c r="F8" s="38">
        <f t="shared" si="0"/>
        <v>55000000</v>
      </c>
      <c r="G8" s="38">
        <f>1693134+1130258</f>
        <v>2823392</v>
      </c>
      <c r="H8" s="38">
        <v>6185808</v>
      </c>
      <c r="I8" s="38">
        <f>2517032+1374624</f>
        <v>3891656</v>
      </c>
      <c r="J8" s="38">
        <v>2038680</v>
      </c>
      <c r="K8" s="38">
        <v>2038680</v>
      </c>
      <c r="L8" s="38">
        <v>2990064</v>
      </c>
      <c r="M8" s="38">
        <v>1461054</v>
      </c>
      <c r="N8" s="38">
        <v>1461054</v>
      </c>
      <c r="O8" s="38">
        <v>2582328</v>
      </c>
      <c r="P8" s="38">
        <v>1087296</v>
      </c>
      <c r="Q8" s="38">
        <v>1529010</v>
      </c>
      <c r="R8" s="38">
        <v>1087296</v>
      </c>
      <c r="S8" s="38">
        <f t="shared" si="1"/>
        <v>29176318</v>
      </c>
    </row>
    <row r="9" spans="1:19" x14ac:dyDescent="0.25">
      <c r="A9" s="10" t="s">
        <v>128</v>
      </c>
      <c r="B9" s="36" t="s">
        <v>129</v>
      </c>
      <c r="C9" s="37" t="s">
        <v>130</v>
      </c>
      <c r="D9" s="38">
        <v>1510000000</v>
      </c>
      <c r="E9" s="10"/>
      <c r="F9" s="38">
        <f t="shared" si="0"/>
        <v>1510000000</v>
      </c>
      <c r="G9" s="38">
        <v>172053707</v>
      </c>
      <c r="H9" s="38">
        <v>173542575</v>
      </c>
      <c r="I9" s="38">
        <v>169942440</v>
      </c>
      <c r="J9" s="38">
        <f>167365154-30201815</f>
        <v>137163339</v>
      </c>
      <c r="K9" s="38">
        <v>158965392</v>
      </c>
      <c r="L9" s="38">
        <v>89120463</v>
      </c>
      <c r="M9" s="38">
        <v>64438508</v>
      </c>
      <c r="N9" s="38">
        <v>79876965</v>
      </c>
      <c r="O9" s="38">
        <v>64759476</v>
      </c>
      <c r="P9" s="38">
        <v>51804567</v>
      </c>
      <c r="Q9" s="38">
        <v>57255444</v>
      </c>
      <c r="R9" s="38">
        <v>76515639</v>
      </c>
      <c r="S9" s="38">
        <f t="shared" si="1"/>
        <v>1295438515</v>
      </c>
    </row>
    <row r="10" spans="1:19" x14ac:dyDescent="0.25">
      <c r="A10" s="10" t="s">
        <v>131</v>
      </c>
      <c r="B10" s="36" t="s">
        <v>132</v>
      </c>
      <c r="C10" s="37" t="s">
        <v>133</v>
      </c>
      <c r="D10" s="38">
        <v>24200000</v>
      </c>
      <c r="E10" s="10"/>
      <c r="F10" s="38">
        <f t="shared" si="0"/>
        <v>24200000</v>
      </c>
      <c r="G10" s="38">
        <v>969083</v>
      </c>
      <c r="H10" s="38">
        <v>1374570</v>
      </c>
      <c r="I10" s="38">
        <v>916380</v>
      </c>
      <c r="J10" s="38">
        <v>1450935</v>
      </c>
      <c r="K10" s="38">
        <v>1206567</v>
      </c>
      <c r="L10" s="38">
        <v>1312510</v>
      </c>
      <c r="M10" s="38">
        <v>1449967</v>
      </c>
      <c r="N10" s="38">
        <v>1114929</v>
      </c>
      <c r="O10" s="38">
        <v>778923</v>
      </c>
      <c r="P10" s="38">
        <v>1145475</v>
      </c>
      <c r="Q10" s="38">
        <v>1267659</v>
      </c>
      <c r="R10" s="38">
        <v>1221840</v>
      </c>
      <c r="S10" s="38">
        <f t="shared" si="1"/>
        <v>14208838</v>
      </c>
    </row>
    <row r="11" spans="1:19" x14ac:dyDescent="0.25">
      <c r="A11" s="10" t="s">
        <v>134</v>
      </c>
      <c r="B11" s="36" t="s">
        <v>135</v>
      </c>
      <c r="C11" s="37" t="s">
        <v>136</v>
      </c>
      <c r="D11" s="38">
        <v>35200000</v>
      </c>
      <c r="E11" s="10"/>
      <c r="F11" s="38">
        <f t="shared" si="0"/>
        <v>35200000</v>
      </c>
      <c r="G11" s="38">
        <v>1172257</v>
      </c>
      <c r="H11" s="38">
        <v>1450935</v>
      </c>
      <c r="I11" s="38">
        <v>1069110</v>
      </c>
      <c r="J11" s="38">
        <v>1756395</v>
      </c>
      <c r="K11" s="38">
        <v>1512027</v>
      </c>
      <c r="L11" s="38">
        <v>1663789</v>
      </c>
      <c r="M11" s="38">
        <v>1801246</v>
      </c>
      <c r="N11" s="38">
        <v>1496754</v>
      </c>
      <c r="O11" s="38">
        <v>1450935</v>
      </c>
      <c r="P11" s="38">
        <v>1557846</v>
      </c>
      <c r="Q11" s="38">
        <v>1710576</v>
      </c>
      <c r="R11" s="38">
        <v>1710576</v>
      </c>
      <c r="S11" s="38">
        <f t="shared" si="1"/>
        <v>18352446</v>
      </c>
    </row>
    <row r="12" spans="1:19" x14ac:dyDescent="0.25">
      <c r="A12" s="10" t="s">
        <v>137</v>
      </c>
      <c r="B12" s="36" t="s">
        <v>138</v>
      </c>
      <c r="C12" s="37" t="s">
        <v>139</v>
      </c>
      <c r="D12" s="38">
        <v>82500000</v>
      </c>
      <c r="E12" s="10"/>
      <c r="F12" s="38">
        <f t="shared" si="0"/>
        <v>82500000</v>
      </c>
      <c r="G12" s="38">
        <v>2785410</v>
      </c>
      <c r="H12" s="38">
        <v>4642510</v>
      </c>
      <c r="I12" s="38">
        <v>4992976</v>
      </c>
      <c r="J12" s="38">
        <v>5969271</v>
      </c>
      <c r="K12" s="38">
        <v>10689096</v>
      </c>
      <c r="L12" s="38">
        <v>10270792</v>
      </c>
      <c r="M12" s="38">
        <v>8940159</v>
      </c>
      <c r="N12" s="38">
        <v>17157596</v>
      </c>
      <c r="O12" s="38">
        <v>11664950</v>
      </c>
      <c r="P12" s="38">
        <v>10993171</v>
      </c>
      <c r="Q12" s="38">
        <v>12506828</v>
      </c>
      <c r="R12" s="38">
        <v>11426614</v>
      </c>
      <c r="S12" s="38">
        <f t="shared" si="1"/>
        <v>112039373</v>
      </c>
    </row>
    <row r="13" spans="1:19" x14ac:dyDescent="0.25">
      <c r="A13" s="10" t="s">
        <v>140</v>
      </c>
      <c r="B13" s="36" t="s">
        <v>141</v>
      </c>
      <c r="C13" s="37" t="s">
        <v>142</v>
      </c>
      <c r="D13" s="38">
        <v>4400000</v>
      </c>
      <c r="E13" s="10"/>
      <c r="F13" s="38">
        <f t="shared" si="0"/>
        <v>4400000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f t="shared" si="1"/>
        <v>0</v>
      </c>
    </row>
    <row r="14" spans="1:19" x14ac:dyDescent="0.25">
      <c r="A14" s="10" t="s">
        <v>143</v>
      </c>
      <c r="B14" s="36" t="s">
        <v>144</v>
      </c>
      <c r="C14" s="37" t="s">
        <v>145</v>
      </c>
      <c r="D14" s="38">
        <v>497000000</v>
      </c>
      <c r="E14" s="10"/>
      <c r="F14" s="38">
        <f t="shared" si="0"/>
        <v>497000000</v>
      </c>
      <c r="G14" s="38">
        <v>8794481</v>
      </c>
      <c r="H14" s="38">
        <v>13620425</v>
      </c>
      <c r="I14" s="38">
        <v>14139732</v>
      </c>
      <c r="J14" s="38">
        <v>16468183</v>
      </c>
      <c r="K14" s="38">
        <v>9768805</v>
      </c>
      <c r="L14" s="38">
        <v>9613255</v>
      </c>
      <c r="M14" s="38">
        <v>14280761</v>
      </c>
      <c r="N14" s="38">
        <v>18121658</v>
      </c>
      <c r="O14" s="38">
        <v>8795314</v>
      </c>
      <c r="P14" s="38">
        <v>8394868</v>
      </c>
      <c r="Q14" s="38">
        <v>8308932</v>
      </c>
      <c r="R14" s="38">
        <v>10421820</v>
      </c>
      <c r="S14" s="38">
        <f t="shared" si="1"/>
        <v>140728234</v>
      </c>
    </row>
    <row r="15" spans="1:19" x14ac:dyDescent="0.25">
      <c r="A15" s="10" t="s">
        <v>146</v>
      </c>
      <c r="B15" s="36" t="s">
        <v>147</v>
      </c>
      <c r="C15" s="37" t="s">
        <v>148</v>
      </c>
      <c r="D15" s="38">
        <v>5500000</v>
      </c>
      <c r="E15" s="10"/>
      <c r="F15" s="38">
        <f t="shared" si="0"/>
        <v>5500000</v>
      </c>
      <c r="G15" s="38">
        <v>279499</v>
      </c>
      <c r="H15" s="38">
        <v>416328</v>
      </c>
      <c r="I15" s="38">
        <v>485716</v>
      </c>
      <c r="J15" s="38">
        <v>589798</v>
      </c>
      <c r="K15" s="38">
        <v>659186</v>
      </c>
      <c r="L15" s="38">
        <v>503063</v>
      </c>
      <c r="M15" s="38">
        <v>676533</v>
      </c>
      <c r="N15" s="38">
        <v>1092861</v>
      </c>
      <c r="O15" s="38">
        <v>763268</v>
      </c>
      <c r="P15" s="38">
        <v>572451</v>
      </c>
      <c r="Q15" s="38">
        <v>555104</v>
      </c>
      <c r="R15" s="38">
        <v>607145</v>
      </c>
      <c r="S15" s="38">
        <f t="shared" si="1"/>
        <v>7200952</v>
      </c>
    </row>
    <row r="16" spans="1:19" x14ac:dyDescent="0.25">
      <c r="A16" s="10" t="s">
        <v>149</v>
      </c>
      <c r="B16" s="36" t="s">
        <v>150</v>
      </c>
      <c r="C16" s="37" t="s">
        <v>151</v>
      </c>
      <c r="D16" s="38">
        <v>967000000</v>
      </c>
      <c r="E16" s="10"/>
      <c r="F16" s="38">
        <f t="shared" si="0"/>
        <v>967000000</v>
      </c>
      <c r="G16" s="38">
        <v>71182929</v>
      </c>
      <c r="H16" s="38">
        <v>69872739</v>
      </c>
      <c r="I16" s="38">
        <v>67539121</v>
      </c>
      <c r="J16" s="38">
        <v>64723191</v>
      </c>
      <c r="K16" s="38">
        <v>61527150</v>
      </c>
      <c r="L16" s="38">
        <v>30324763</v>
      </c>
      <c r="M16" s="38">
        <v>19490103</v>
      </c>
      <c r="N16" s="38">
        <v>23812512</v>
      </c>
      <c r="O16" s="38">
        <v>16686562</v>
      </c>
      <c r="P16" s="38">
        <v>13197976</v>
      </c>
      <c r="Q16" s="38">
        <v>17166559</v>
      </c>
      <c r="R16" s="38">
        <v>30446348</v>
      </c>
      <c r="S16" s="38">
        <f t="shared" si="1"/>
        <v>485969953</v>
      </c>
    </row>
    <row r="17" spans="1:19" x14ac:dyDescent="0.25">
      <c r="A17" s="10" t="s">
        <v>152</v>
      </c>
      <c r="B17" s="36" t="s">
        <v>153</v>
      </c>
      <c r="C17" s="37" t="s">
        <v>154</v>
      </c>
      <c r="D17" s="38">
        <v>88000000</v>
      </c>
      <c r="E17" s="10"/>
      <c r="F17" s="38">
        <f t="shared" si="0"/>
        <v>88000000</v>
      </c>
      <c r="G17" s="38">
        <v>7948785</v>
      </c>
      <c r="H17" s="38">
        <v>11998633</v>
      </c>
      <c r="I17" s="38">
        <v>22287952</v>
      </c>
      <c r="J17" s="38">
        <v>19282929</v>
      </c>
      <c r="K17" s="38">
        <f>18714210+39294</f>
        <v>18753504</v>
      </c>
      <c r="L17" s="38">
        <f>16919645+394776</f>
        <v>17314421</v>
      </c>
      <c r="M17" s="38">
        <v>22870460</v>
      </c>
      <c r="N17" s="38">
        <v>26849259</v>
      </c>
      <c r="O17" s="38">
        <v>18986916</v>
      </c>
      <c r="P17" s="38">
        <v>16564779</v>
      </c>
      <c r="Q17" s="38">
        <v>15381097</v>
      </c>
      <c r="R17" s="38">
        <v>23755322</v>
      </c>
      <c r="S17" s="38">
        <f t="shared" si="1"/>
        <v>221994057</v>
      </c>
    </row>
    <row r="18" spans="1:19" x14ac:dyDescent="0.25">
      <c r="A18" s="10" t="s">
        <v>155</v>
      </c>
      <c r="B18" s="36" t="s">
        <v>156</v>
      </c>
      <c r="C18" s="37" t="s">
        <v>157</v>
      </c>
      <c r="D18" s="38">
        <v>16500000</v>
      </c>
      <c r="E18" s="10"/>
      <c r="F18" s="38">
        <f t="shared" si="0"/>
        <v>16500000</v>
      </c>
      <c r="G18" s="38">
        <v>15726</v>
      </c>
      <c r="H18" s="38">
        <v>33254</v>
      </c>
      <c r="I18" s="38">
        <v>12790</v>
      </c>
      <c r="J18" s="38">
        <v>32905</v>
      </c>
      <c r="K18" s="38">
        <v>28138</v>
      </c>
      <c r="L18" s="38">
        <v>23022</v>
      </c>
      <c r="M18" s="38">
        <v>10232</v>
      </c>
      <c r="N18" s="38">
        <v>40928</v>
      </c>
      <c r="O18" s="38">
        <v>12970</v>
      </c>
      <c r="P18" s="38">
        <v>9064</v>
      </c>
      <c r="Q18" s="38">
        <v>11330</v>
      </c>
      <c r="R18" s="38">
        <v>6798</v>
      </c>
      <c r="S18" s="38">
        <f t="shared" si="1"/>
        <v>237157</v>
      </c>
    </row>
    <row r="19" spans="1:19" x14ac:dyDescent="0.25">
      <c r="A19" s="10" t="s">
        <v>158</v>
      </c>
      <c r="B19" s="36" t="s">
        <v>159</v>
      </c>
      <c r="C19" s="37" t="s">
        <v>160</v>
      </c>
      <c r="D19" s="38">
        <v>48400000</v>
      </c>
      <c r="E19" s="10"/>
      <c r="F19" s="38">
        <f t="shared" si="0"/>
        <v>48400000</v>
      </c>
      <c r="G19" s="38">
        <v>3937131</v>
      </c>
      <c r="H19" s="38">
        <v>7205330</v>
      </c>
      <c r="I19" s="38">
        <f>23022+5787507</f>
        <v>5810529</v>
      </c>
      <c r="J19" s="38">
        <v>7182087</v>
      </c>
      <c r="K19" s="38">
        <f>23022+6810199</f>
        <v>6833221</v>
      </c>
      <c r="L19" s="38">
        <v>11511</v>
      </c>
      <c r="M19" s="38">
        <v>5787507</v>
      </c>
      <c r="N19" s="38">
        <v>8553424</v>
      </c>
      <c r="O19" s="38">
        <f>11511+5996694</f>
        <v>6008205</v>
      </c>
      <c r="P19" s="38">
        <v>6275610</v>
      </c>
      <c r="Q19" s="38">
        <v>4555804</v>
      </c>
      <c r="R19" s="38">
        <v>4857787</v>
      </c>
      <c r="S19" s="38">
        <f t="shared" si="1"/>
        <v>67018146</v>
      </c>
    </row>
    <row r="20" spans="1:19" x14ac:dyDescent="0.25">
      <c r="A20" s="10" t="s">
        <v>161</v>
      </c>
      <c r="B20" s="36" t="s">
        <v>162</v>
      </c>
      <c r="C20" s="37" t="s">
        <v>163</v>
      </c>
      <c r="D20" s="38">
        <v>75000000</v>
      </c>
      <c r="E20" s="10"/>
      <c r="F20" s="38">
        <f t="shared" si="0"/>
        <v>75000000</v>
      </c>
      <c r="G20" s="38">
        <v>4139674</v>
      </c>
      <c r="H20" s="38">
        <v>4596428</v>
      </c>
      <c r="I20" s="38">
        <v>7615664</v>
      </c>
      <c r="J20" s="38">
        <v>7914906</v>
      </c>
      <c r="K20" s="38">
        <v>8828918</v>
      </c>
      <c r="L20" s="38">
        <v>10638685</v>
      </c>
      <c r="M20" s="38">
        <v>8433814</v>
      </c>
      <c r="N20" s="38">
        <v>12774533</v>
      </c>
      <c r="O20" s="38">
        <v>9519153</v>
      </c>
      <c r="P20" s="38">
        <v>8009673</v>
      </c>
      <c r="Q20" s="38">
        <f>5296359+974745+32490+308655+1689636+97470+183148+21806428+324915+43322</f>
        <v>30757168</v>
      </c>
      <c r="R20" s="38">
        <v>8671306</v>
      </c>
      <c r="S20" s="38">
        <f t="shared" si="1"/>
        <v>121899922</v>
      </c>
    </row>
    <row r="21" spans="1:19" x14ac:dyDescent="0.25">
      <c r="A21" s="10" t="s">
        <v>164</v>
      </c>
      <c r="B21" s="36" t="s">
        <v>165</v>
      </c>
      <c r="C21" s="37" t="s">
        <v>166</v>
      </c>
      <c r="D21" s="38">
        <v>3500000</v>
      </c>
      <c r="E21" s="10"/>
      <c r="F21" s="38">
        <f t="shared" si="0"/>
        <v>3500000</v>
      </c>
      <c r="G21" s="38">
        <v>294961</v>
      </c>
      <c r="H21" s="38">
        <v>484565</v>
      </c>
      <c r="I21" s="38">
        <v>470392</v>
      </c>
      <c r="J21" s="38">
        <v>54973</v>
      </c>
      <c r="K21" s="38">
        <v>148677</v>
      </c>
      <c r="L21" s="38">
        <v>54973</v>
      </c>
      <c r="M21" s="38">
        <v>109945</v>
      </c>
      <c r="N21" s="38">
        <v>350567</v>
      </c>
      <c r="O21" s="38">
        <v>195119</v>
      </c>
      <c r="P21" s="38">
        <v>106576</v>
      </c>
      <c r="Q21" s="38">
        <v>53288</v>
      </c>
      <c r="R21" s="38">
        <v>53288</v>
      </c>
      <c r="S21" s="38">
        <f t="shared" si="1"/>
        <v>2377324</v>
      </c>
    </row>
    <row r="22" spans="1:19" x14ac:dyDescent="0.25">
      <c r="A22" s="10" t="s">
        <v>167</v>
      </c>
      <c r="B22" s="36" t="s">
        <v>168</v>
      </c>
      <c r="C22" s="37" t="s">
        <v>169</v>
      </c>
      <c r="D22" s="38">
        <v>24200000</v>
      </c>
      <c r="E22" s="10"/>
      <c r="F22" s="38">
        <f t="shared" si="0"/>
        <v>24200000</v>
      </c>
      <c r="G22" s="38">
        <f>4314919+2339551</f>
        <v>6654470</v>
      </c>
      <c r="H22" s="38">
        <f>5085115+3496282</f>
        <v>8581397</v>
      </c>
      <c r="I22" s="38">
        <f>9505612+8057278</f>
        <v>17562890</v>
      </c>
      <c r="J22" s="38">
        <v>4463228</v>
      </c>
      <c r="K22" s="38">
        <f>4322359+3868957</f>
        <v>8191316</v>
      </c>
      <c r="L22" s="38">
        <f>4763009+5322706</f>
        <v>10085715</v>
      </c>
      <c r="M22" s="38">
        <f>9719247+8025663</f>
        <v>17744910</v>
      </c>
      <c r="N22" s="38">
        <f>12513981+8006774</f>
        <v>20520755</v>
      </c>
      <c r="O22" s="38">
        <f>4502870+4113137</f>
        <v>8616007</v>
      </c>
      <c r="P22" s="38">
        <f>3765276+3642828</f>
        <v>7408104</v>
      </c>
      <c r="Q22" s="38">
        <f>3612216+3428544</f>
        <v>7040760</v>
      </c>
      <c r="R22" s="38">
        <f>4408128+4224456</f>
        <v>8632584</v>
      </c>
      <c r="S22" s="38">
        <f t="shared" si="1"/>
        <v>125502136</v>
      </c>
    </row>
    <row r="23" spans="1:19" x14ac:dyDescent="0.25">
      <c r="A23" s="10" t="s">
        <v>170</v>
      </c>
      <c r="B23" s="36" t="s">
        <v>171</v>
      </c>
      <c r="C23" s="37" t="s">
        <v>172</v>
      </c>
      <c r="D23" s="38">
        <v>35200000</v>
      </c>
      <c r="E23" s="10"/>
      <c r="F23" s="38">
        <f t="shared" si="0"/>
        <v>35200000</v>
      </c>
      <c r="G23" s="38">
        <v>1130258</v>
      </c>
      <c r="H23" s="38">
        <v>985622</v>
      </c>
      <c r="I23" s="38">
        <v>4174784</v>
      </c>
      <c r="J23" s="38">
        <v>4429344</v>
      </c>
      <c r="K23" s="38">
        <v>4072960</v>
      </c>
      <c r="L23" s="38">
        <v>3538384</v>
      </c>
      <c r="M23" s="38">
        <v>3360192</v>
      </c>
      <c r="N23" s="38">
        <v>4963920</v>
      </c>
      <c r="O23" s="38">
        <v>7153136</v>
      </c>
      <c r="P23" s="38">
        <v>5523952</v>
      </c>
      <c r="Q23" s="38">
        <v>6669472</v>
      </c>
      <c r="R23" s="38">
        <v>5836640</v>
      </c>
      <c r="S23" s="38">
        <f t="shared" si="1"/>
        <v>51838664</v>
      </c>
    </row>
    <row r="24" spans="1:19" x14ac:dyDescent="0.25">
      <c r="A24" s="10" t="s">
        <v>173</v>
      </c>
      <c r="B24" s="36" t="s">
        <v>174</v>
      </c>
      <c r="C24" s="37" t="s">
        <v>175</v>
      </c>
      <c r="D24" s="38">
        <v>9900000</v>
      </c>
      <c r="E24" s="10"/>
      <c r="F24" s="38">
        <f t="shared" si="0"/>
        <v>9900000</v>
      </c>
      <c r="G24" s="38">
        <v>336406</v>
      </c>
      <c r="H24" s="38">
        <v>569490</v>
      </c>
      <c r="I24" s="38">
        <v>1955072</v>
      </c>
      <c r="J24" s="38">
        <v>645968</v>
      </c>
      <c r="K24" s="38">
        <v>1005383</v>
      </c>
      <c r="L24" s="38">
        <v>804854</v>
      </c>
      <c r="M24" s="38">
        <v>2817996</v>
      </c>
      <c r="N24" s="38">
        <v>2734656</v>
      </c>
      <c r="O24" s="38">
        <f>1139535+100210</f>
        <v>1239745</v>
      </c>
      <c r="P24" s="38">
        <v>642852</v>
      </c>
      <c r="Q24" s="38">
        <v>1132644</v>
      </c>
      <c r="R24" s="38">
        <f>153060+826524</f>
        <v>979584</v>
      </c>
      <c r="S24" s="38">
        <f t="shared" si="1"/>
        <v>14864650</v>
      </c>
    </row>
    <row r="25" spans="1:19" x14ac:dyDescent="0.25">
      <c r="A25" s="10" t="s">
        <v>176</v>
      </c>
      <c r="B25" s="36" t="s">
        <v>177</v>
      </c>
      <c r="C25" s="37" t="s">
        <v>178</v>
      </c>
      <c r="D25" s="38">
        <v>1000000</v>
      </c>
      <c r="E25" s="10"/>
      <c r="F25" s="38">
        <f t="shared" si="0"/>
        <v>1000000</v>
      </c>
      <c r="G25" s="38">
        <v>89199</v>
      </c>
      <c r="H25" s="38">
        <v>212348</v>
      </c>
      <c r="I25" s="38">
        <v>197215</v>
      </c>
      <c r="J25" s="38">
        <v>79333</v>
      </c>
      <c r="K25" s="38">
        <v>304854</v>
      </c>
      <c r="L25" s="38">
        <f>172255+79814</f>
        <v>252069</v>
      </c>
      <c r="M25" s="38">
        <f>166602+56657</f>
        <v>223259</v>
      </c>
      <c r="N25" s="38">
        <v>148494</v>
      </c>
      <c r="O25" s="38">
        <v>136783</v>
      </c>
      <c r="P25" s="38">
        <v>159864</v>
      </c>
      <c r="Q25" s="38">
        <v>106576</v>
      </c>
      <c r="R25" s="38">
        <v>159864</v>
      </c>
      <c r="S25" s="38">
        <f t="shared" si="1"/>
        <v>2069858</v>
      </c>
    </row>
    <row r="26" spans="1:19" x14ac:dyDescent="0.25">
      <c r="A26" s="10" t="s">
        <v>179</v>
      </c>
      <c r="B26" s="36" t="s">
        <v>180</v>
      </c>
      <c r="C26" s="37" t="s">
        <v>181</v>
      </c>
      <c r="D26" s="38">
        <v>5500000</v>
      </c>
      <c r="E26" s="10"/>
      <c r="F26" s="38">
        <f t="shared" si="0"/>
        <v>5500000</v>
      </c>
      <c r="G26" s="38">
        <v>400515</v>
      </c>
      <c r="H26" s="38">
        <v>560646</v>
      </c>
      <c r="I26" s="38">
        <v>467205</v>
      </c>
      <c r="J26" s="38">
        <v>622940</v>
      </c>
      <c r="K26" s="38">
        <v>622940</v>
      </c>
      <c r="L26" s="38">
        <v>249176</v>
      </c>
      <c r="M26" s="38">
        <v>654087</v>
      </c>
      <c r="N26" s="38">
        <v>712536</v>
      </c>
      <c r="O26" s="38">
        <v>695877</v>
      </c>
      <c r="P26" s="38">
        <v>638894</v>
      </c>
      <c r="Q26" s="38">
        <v>472226</v>
      </c>
      <c r="R26" s="38">
        <v>777784</v>
      </c>
      <c r="S26" s="38">
        <f t="shared" si="1"/>
        <v>6874826</v>
      </c>
    </row>
    <row r="27" spans="1:19" x14ac:dyDescent="0.25">
      <c r="A27" s="10" t="s">
        <v>182</v>
      </c>
      <c r="B27" s="36" t="s">
        <v>183</v>
      </c>
      <c r="C27" s="37" t="s">
        <v>184</v>
      </c>
      <c r="D27" s="38">
        <v>220000</v>
      </c>
      <c r="E27" s="10"/>
      <c r="F27" s="38">
        <f t="shared" si="0"/>
        <v>220000</v>
      </c>
      <c r="G27" s="38">
        <v>39290</v>
      </c>
      <c r="H27" s="38">
        <v>113314</v>
      </c>
      <c r="I27" s="38">
        <v>56657</v>
      </c>
      <c r="J27" s="38">
        <v>35524</v>
      </c>
      <c r="K27" s="38">
        <f>56657+56657</f>
        <v>113314</v>
      </c>
      <c r="L27" s="38">
        <v>54973</v>
      </c>
      <c r="M27" s="38">
        <v>56657</v>
      </c>
      <c r="N27" s="38">
        <v>0</v>
      </c>
      <c r="O27" s="38">
        <v>58174</v>
      </c>
      <c r="P27" s="38">
        <v>53288</v>
      </c>
      <c r="Q27" s="38">
        <v>106576</v>
      </c>
      <c r="R27" s="38">
        <v>53288</v>
      </c>
      <c r="S27" s="38">
        <f t="shared" si="1"/>
        <v>741055</v>
      </c>
    </row>
    <row r="28" spans="1:19" x14ac:dyDescent="0.25">
      <c r="A28" s="10" t="s">
        <v>185</v>
      </c>
      <c r="B28" s="36" t="s">
        <v>186</v>
      </c>
      <c r="C28" s="37" t="s">
        <v>187</v>
      </c>
      <c r="D28" s="38">
        <v>3300000</v>
      </c>
      <c r="E28" s="10"/>
      <c r="F28" s="38">
        <f t="shared" si="0"/>
        <v>3300000</v>
      </c>
      <c r="G28" s="38">
        <v>373541</v>
      </c>
      <c r="H28" s="38">
        <v>407834</v>
      </c>
      <c r="I28" s="38">
        <v>606382</v>
      </c>
      <c r="J28" s="38">
        <v>368621</v>
      </c>
      <c r="K28" s="38">
        <v>254832</v>
      </c>
      <c r="L28" s="38">
        <v>268561</v>
      </c>
      <c r="M28" s="38">
        <v>491870</v>
      </c>
      <c r="N28" s="38">
        <v>1044153</v>
      </c>
      <c r="O28" s="38">
        <v>539110</v>
      </c>
      <c r="P28" s="38">
        <v>395692</v>
      </c>
      <c r="Q28" s="38">
        <v>586168</v>
      </c>
      <c r="R28" s="38">
        <v>479592</v>
      </c>
      <c r="S28" s="38">
        <f t="shared" si="1"/>
        <v>5816356</v>
      </c>
    </row>
    <row r="29" spans="1:19" x14ac:dyDescent="0.25">
      <c r="A29" s="10" t="s">
        <v>188</v>
      </c>
      <c r="B29" s="36" t="s">
        <v>189</v>
      </c>
      <c r="C29" s="37" t="s">
        <v>190</v>
      </c>
      <c r="D29" s="38">
        <v>22000000</v>
      </c>
      <c r="E29" s="10"/>
      <c r="F29" s="38">
        <f t="shared" si="0"/>
        <v>22000000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/>
      <c r="S29" s="38">
        <f t="shared" si="1"/>
        <v>0</v>
      </c>
    </row>
    <row r="30" spans="1:19" x14ac:dyDescent="0.25">
      <c r="A30" s="10" t="s">
        <v>191</v>
      </c>
      <c r="B30" s="36" t="s">
        <v>192</v>
      </c>
      <c r="C30" s="37" t="s">
        <v>193</v>
      </c>
      <c r="D30" s="38">
        <v>8580000</v>
      </c>
      <c r="E30" s="10"/>
      <c r="F30" s="38">
        <f t="shared" si="0"/>
        <v>8580000</v>
      </c>
      <c r="G30" s="38">
        <v>79760</v>
      </c>
      <c r="H30" s="38">
        <v>111811</v>
      </c>
      <c r="I30" s="38">
        <v>250870</v>
      </c>
      <c r="J30" s="38">
        <v>283078</v>
      </c>
      <c r="K30" s="38">
        <v>235559</v>
      </c>
      <c r="L30" s="38">
        <v>280120</v>
      </c>
      <c r="M30" s="38">
        <v>234181</v>
      </c>
      <c r="N30" s="38">
        <v>300300</v>
      </c>
      <c r="O30" s="38">
        <v>361687</v>
      </c>
      <c r="P30" s="38">
        <v>176308</v>
      </c>
      <c r="Q30" s="38">
        <v>185379</v>
      </c>
      <c r="R30" s="38">
        <v>1133812</v>
      </c>
      <c r="S30" s="38">
        <f t="shared" si="1"/>
        <v>3632865</v>
      </c>
    </row>
    <row r="31" spans="1:19" x14ac:dyDescent="0.25">
      <c r="A31" s="10" t="s">
        <v>194</v>
      </c>
      <c r="B31" s="36" t="s">
        <v>195</v>
      </c>
      <c r="C31" s="37" t="s">
        <v>196</v>
      </c>
      <c r="D31" s="38">
        <v>100000</v>
      </c>
      <c r="E31" s="10"/>
      <c r="F31" s="38">
        <f t="shared" si="0"/>
        <v>100000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31471</v>
      </c>
      <c r="O31" s="38">
        <v>0</v>
      </c>
      <c r="P31" s="38">
        <v>30046</v>
      </c>
      <c r="Q31" s="38">
        <v>0</v>
      </c>
      <c r="R31" s="38">
        <v>0</v>
      </c>
      <c r="S31" s="38">
        <f t="shared" si="1"/>
        <v>61517</v>
      </c>
    </row>
    <row r="32" spans="1:19" x14ac:dyDescent="0.25">
      <c r="A32" s="10" t="s">
        <v>197</v>
      </c>
      <c r="B32" s="36" t="s">
        <v>198</v>
      </c>
      <c r="C32" s="37" t="s">
        <v>199</v>
      </c>
      <c r="D32" s="38">
        <v>3300000</v>
      </c>
      <c r="E32" s="10"/>
      <c r="F32" s="38">
        <f t="shared" si="0"/>
        <v>3300000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309440</v>
      </c>
      <c r="R32" s="38">
        <v>0</v>
      </c>
      <c r="S32" s="38">
        <f t="shared" si="1"/>
        <v>309440</v>
      </c>
    </row>
    <row r="33" spans="1:19" x14ac:dyDescent="0.25">
      <c r="A33" s="10" t="s">
        <v>200</v>
      </c>
      <c r="B33" s="36" t="s">
        <v>201</v>
      </c>
      <c r="C33" s="37" t="s">
        <v>202</v>
      </c>
      <c r="D33" s="38">
        <v>2200000</v>
      </c>
      <c r="E33" s="10"/>
      <c r="F33" s="38">
        <f t="shared" si="0"/>
        <v>2200000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/>
      <c r="R33" s="38">
        <v>0</v>
      </c>
      <c r="S33" s="38">
        <f t="shared" si="1"/>
        <v>0</v>
      </c>
    </row>
    <row r="34" spans="1:19" x14ac:dyDescent="0.25">
      <c r="A34" s="10" t="s">
        <v>203</v>
      </c>
      <c r="B34" s="36" t="s">
        <v>204</v>
      </c>
      <c r="C34" s="37" t="s">
        <v>205</v>
      </c>
      <c r="D34" s="38">
        <v>100000000</v>
      </c>
      <c r="E34" s="10"/>
      <c r="F34" s="38">
        <f t="shared" si="0"/>
        <v>100000000</v>
      </c>
      <c r="G34" s="38">
        <v>3759308</v>
      </c>
      <c r="H34" s="38">
        <v>8306755</v>
      </c>
      <c r="I34" s="38">
        <v>3911770</v>
      </c>
      <c r="J34" s="38">
        <v>488308</v>
      </c>
      <c r="K34" s="38">
        <v>3053358</v>
      </c>
      <c r="L34" s="38">
        <v>14480319</v>
      </c>
      <c r="M34" s="38">
        <v>5834018</v>
      </c>
      <c r="N34" s="38">
        <v>1022879</v>
      </c>
      <c r="O34" s="38">
        <v>560249</v>
      </c>
      <c r="P34" s="38">
        <v>71941</v>
      </c>
      <c r="Q34" s="38">
        <v>13016867</v>
      </c>
      <c r="R34" s="38">
        <v>6860499</v>
      </c>
      <c r="S34" s="38">
        <f t="shared" si="1"/>
        <v>61366271</v>
      </c>
    </row>
    <row r="35" spans="1:19" x14ac:dyDescent="0.25">
      <c r="A35" s="10" t="s">
        <v>206</v>
      </c>
      <c r="B35" s="36" t="s">
        <v>207</v>
      </c>
      <c r="C35" s="37" t="s">
        <v>208</v>
      </c>
      <c r="D35" s="38">
        <v>25000000</v>
      </c>
      <c r="E35" s="10"/>
      <c r="F35" s="38">
        <f t="shared" si="0"/>
        <v>25000000</v>
      </c>
      <c r="G35" s="38">
        <v>1580077</v>
      </c>
      <c r="H35" s="38">
        <v>2241270</v>
      </c>
      <c r="I35" s="38">
        <v>1494180</v>
      </c>
      <c r="J35" s="38">
        <v>2340882</v>
      </c>
      <c r="K35" s="38">
        <v>1967337</v>
      </c>
      <c r="L35" s="38">
        <v>2140079</v>
      </c>
      <c r="M35" s="38">
        <v>2364206</v>
      </c>
      <c r="N35" s="38">
        <v>1817919</v>
      </c>
      <c r="O35" s="38">
        <v>1294956</v>
      </c>
      <c r="P35" s="38">
        <v>1867725</v>
      </c>
      <c r="Q35" s="38">
        <v>2066949</v>
      </c>
      <c r="R35" s="38">
        <v>1992240</v>
      </c>
      <c r="S35" s="38">
        <f t="shared" si="1"/>
        <v>23167820</v>
      </c>
    </row>
    <row r="36" spans="1:19" x14ac:dyDescent="0.25">
      <c r="A36" s="10" t="s">
        <v>209</v>
      </c>
      <c r="B36" s="36" t="s">
        <v>210</v>
      </c>
      <c r="C36" s="37" t="s">
        <v>211</v>
      </c>
      <c r="D36" s="38">
        <v>16500000</v>
      </c>
      <c r="E36" s="10"/>
      <c r="F36" s="38">
        <f t="shared" si="0"/>
        <v>16500000</v>
      </c>
      <c r="G36" s="38">
        <v>1064931</v>
      </c>
      <c r="H36" s="38">
        <f>1632862+1368879</f>
        <v>3001741</v>
      </c>
      <c r="I36" s="38">
        <v>2309384</v>
      </c>
      <c r="J36" s="38">
        <v>2681294</v>
      </c>
      <c r="K36" s="38">
        <v>3070914</v>
      </c>
      <c r="L36" s="38">
        <v>2302300</v>
      </c>
      <c r="M36" s="38">
        <f>3761604+8132</f>
        <v>3769736</v>
      </c>
      <c r="N36" s="38">
        <v>7108794</v>
      </c>
      <c r="O36" s="38">
        <f>3364900+10593</f>
        <v>3375493</v>
      </c>
      <c r="P36" s="38">
        <v>2536072</v>
      </c>
      <c r="Q36" s="38">
        <v>2429812</v>
      </c>
      <c r="R36" s="38">
        <v>2847768</v>
      </c>
      <c r="S36" s="38">
        <f t="shared" si="1"/>
        <v>36498239</v>
      </c>
    </row>
    <row r="37" spans="1:19" x14ac:dyDescent="0.25">
      <c r="A37" s="10" t="s">
        <v>212</v>
      </c>
      <c r="B37" s="36" t="s">
        <v>213</v>
      </c>
      <c r="C37" s="37" t="s">
        <v>214</v>
      </c>
      <c r="D37" s="38">
        <v>98000000</v>
      </c>
      <c r="E37" s="10"/>
      <c r="F37" s="38">
        <f t="shared" si="0"/>
        <v>98000000</v>
      </c>
      <c r="G37" s="38">
        <v>50996287</v>
      </c>
      <c r="H37" s="38">
        <v>45933332</v>
      </c>
      <c r="I37" s="38">
        <v>43402166</v>
      </c>
      <c r="J37" s="38">
        <v>46660857</v>
      </c>
      <c r="K37" s="38">
        <v>48039629</v>
      </c>
      <c r="L37" s="38">
        <v>20527467</v>
      </c>
      <c r="M37" s="38">
        <v>13081311</v>
      </c>
      <c r="N37" s="38">
        <v>5806046</v>
      </c>
      <c r="O37" s="38">
        <v>5167466</v>
      </c>
      <c r="P37" s="38">
        <v>4064034</v>
      </c>
      <c r="Q37" s="38">
        <v>3275767</v>
      </c>
      <c r="R37" s="38">
        <v>2676760</v>
      </c>
      <c r="S37" s="38">
        <f t="shared" si="1"/>
        <v>289631122</v>
      </c>
    </row>
    <row r="38" spans="1:19" x14ac:dyDescent="0.25">
      <c r="A38" s="10" t="s">
        <v>215</v>
      </c>
      <c r="B38" s="36" t="s">
        <v>216</v>
      </c>
      <c r="C38" s="37" t="s">
        <v>217</v>
      </c>
      <c r="D38" s="38">
        <v>600000</v>
      </c>
      <c r="E38" s="10"/>
      <c r="F38" s="38">
        <f t="shared" si="0"/>
        <v>600000</v>
      </c>
      <c r="G38" s="38">
        <v>21562</v>
      </c>
      <c r="H38" s="38">
        <v>64686</v>
      </c>
      <c r="I38" s="38">
        <v>64686</v>
      </c>
      <c r="J38" s="38">
        <v>34533</v>
      </c>
      <c r="K38" s="38">
        <v>32343</v>
      </c>
      <c r="L38" s="38">
        <v>21562</v>
      </c>
      <c r="M38" s="38">
        <v>43124</v>
      </c>
      <c r="N38" s="38">
        <v>75467</v>
      </c>
      <c r="O38" s="38">
        <v>75467</v>
      </c>
      <c r="P38" s="38">
        <v>10781</v>
      </c>
      <c r="Q38" s="38">
        <v>86248</v>
      </c>
      <c r="R38" s="38">
        <v>53905</v>
      </c>
      <c r="S38" s="38">
        <f t="shared" si="1"/>
        <v>584364</v>
      </c>
    </row>
    <row r="39" spans="1:19" x14ac:dyDescent="0.25">
      <c r="A39" s="10" t="s">
        <v>218</v>
      </c>
      <c r="B39" s="36" t="s">
        <v>219</v>
      </c>
      <c r="C39" s="37" t="s">
        <v>220</v>
      </c>
      <c r="D39" s="38">
        <v>2200000</v>
      </c>
      <c r="E39" s="10"/>
      <c r="F39" s="38">
        <f t="shared" si="0"/>
        <v>2200000</v>
      </c>
      <c r="G39" s="38">
        <v>293928</v>
      </c>
      <c r="H39" s="38">
        <v>309640</v>
      </c>
      <c r="I39" s="38">
        <v>247712</v>
      </c>
      <c r="J39" s="38">
        <v>30988</v>
      </c>
      <c r="K39" s="38">
        <v>30988</v>
      </c>
      <c r="L39" s="38">
        <v>42568</v>
      </c>
      <c r="M39" s="38">
        <v>15494</v>
      </c>
      <c r="N39" s="38">
        <v>340604</v>
      </c>
      <c r="O39" s="38">
        <v>77470</v>
      </c>
      <c r="P39" s="38">
        <v>154820</v>
      </c>
      <c r="Q39" s="38">
        <v>216748</v>
      </c>
      <c r="R39" s="38">
        <v>15494</v>
      </c>
      <c r="S39" s="38">
        <f t="shared" si="1"/>
        <v>1776454</v>
      </c>
    </row>
    <row r="40" spans="1:19" x14ac:dyDescent="0.25">
      <c r="A40" s="10" t="s">
        <v>221</v>
      </c>
      <c r="B40" s="36" t="s">
        <v>222</v>
      </c>
      <c r="C40" s="37" t="s">
        <v>223</v>
      </c>
      <c r="D40" s="38">
        <v>100000</v>
      </c>
      <c r="E40" s="10"/>
      <c r="F40" s="38">
        <f t="shared" si="0"/>
        <v>100000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f t="shared" si="1"/>
        <v>0</v>
      </c>
    </row>
    <row r="41" spans="1:19" x14ac:dyDescent="0.25">
      <c r="A41" s="10" t="s">
        <v>224</v>
      </c>
      <c r="B41" s="36" t="s">
        <v>225</v>
      </c>
      <c r="C41" s="37" t="s">
        <v>226</v>
      </c>
      <c r="D41" s="38">
        <v>2200000</v>
      </c>
      <c r="E41" s="10"/>
      <c r="F41" s="38">
        <f t="shared" si="0"/>
        <v>2200000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f t="shared" si="1"/>
        <v>0</v>
      </c>
    </row>
    <row r="42" spans="1:19" x14ac:dyDescent="0.25">
      <c r="A42" s="10" t="s">
        <v>227</v>
      </c>
      <c r="B42" s="36" t="s">
        <v>228</v>
      </c>
      <c r="C42" s="37" t="s">
        <v>229</v>
      </c>
      <c r="D42" s="38">
        <v>14300000</v>
      </c>
      <c r="E42" s="10"/>
      <c r="F42" s="38">
        <f t="shared" si="0"/>
        <v>14300000</v>
      </c>
      <c r="G42" s="38">
        <v>353385</v>
      </c>
      <c r="H42" s="38">
        <v>871343</v>
      </c>
      <c r="I42" s="38">
        <v>507901</v>
      </c>
      <c r="J42" s="38">
        <v>687184</v>
      </c>
      <c r="K42" s="38">
        <v>979748</v>
      </c>
      <c r="L42" s="38">
        <v>465968</v>
      </c>
      <c r="M42" s="38">
        <v>266519</v>
      </c>
      <c r="N42" s="38">
        <v>497176</v>
      </c>
      <c r="O42" s="38">
        <v>578370</v>
      </c>
      <c r="P42" s="38">
        <v>808378</v>
      </c>
      <c r="Q42" s="38">
        <v>1913245</v>
      </c>
      <c r="R42" s="38">
        <v>3646769</v>
      </c>
      <c r="S42" s="38">
        <f t="shared" si="1"/>
        <v>11575986</v>
      </c>
    </row>
    <row r="43" spans="1:19" x14ac:dyDescent="0.25">
      <c r="A43" s="10" t="s">
        <v>230</v>
      </c>
      <c r="B43" s="36" t="s">
        <v>231</v>
      </c>
      <c r="C43" s="37" t="s">
        <v>232</v>
      </c>
      <c r="D43" s="38">
        <v>2200000</v>
      </c>
      <c r="E43" s="10"/>
      <c r="F43" s="38">
        <f t="shared" si="0"/>
        <v>2200000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/>
      <c r="S43" s="38">
        <f t="shared" si="1"/>
        <v>0</v>
      </c>
    </row>
    <row r="44" spans="1:19" x14ac:dyDescent="0.25">
      <c r="A44" s="10" t="s">
        <v>233</v>
      </c>
      <c r="B44" s="36" t="s">
        <v>234</v>
      </c>
      <c r="C44" s="37" t="s">
        <v>235</v>
      </c>
      <c r="D44" s="38">
        <v>2200000</v>
      </c>
      <c r="E44" s="10"/>
      <c r="F44" s="38">
        <f t="shared" si="0"/>
        <v>2200000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/>
      <c r="S44" s="38">
        <f t="shared" si="1"/>
        <v>0</v>
      </c>
    </row>
    <row r="45" spans="1:19" x14ac:dyDescent="0.25">
      <c r="A45" s="10" t="s">
        <v>236</v>
      </c>
      <c r="B45" s="36" t="s">
        <v>237</v>
      </c>
      <c r="C45" s="37" t="s">
        <v>238</v>
      </c>
      <c r="D45" s="38">
        <v>16500000</v>
      </c>
      <c r="E45" s="10"/>
      <c r="F45" s="38">
        <f t="shared" si="0"/>
        <v>16500000</v>
      </c>
      <c r="G45" s="38">
        <v>1214865</v>
      </c>
      <c r="H45" s="38">
        <v>1723230</v>
      </c>
      <c r="I45" s="38">
        <v>1148820</v>
      </c>
      <c r="J45" s="38">
        <v>1780671</v>
      </c>
      <c r="K45" s="38">
        <v>1512613</v>
      </c>
      <c r="L45" s="38">
        <v>1645428</v>
      </c>
      <c r="M45" s="38">
        <v>1817751</v>
      </c>
      <c r="N45" s="38">
        <v>1397731</v>
      </c>
      <c r="O45" s="38">
        <f>2324+1857840</f>
        <v>1860164</v>
      </c>
      <c r="P45" s="38">
        <v>1436025</v>
      </c>
      <c r="Q45" s="38">
        <v>1589201</v>
      </c>
      <c r="R45" s="38">
        <v>1531760</v>
      </c>
      <c r="S45" s="38">
        <f t="shared" si="1"/>
        <v>18658259</v>
      </c>
    </row>
    <row r="46" spans="1:19" x14ac:dyDescent="0.25">
      <c r="A46" s="10" t="s">
        <v>239</v>
      </c>
      <c r="B46" s="36" t="s">
        <v>240</v>
      </c>
      <c r="C46" s="37" t="s">
        <v>241</v>
      </c>
      <c r="D46" s="38">
        <v>15500000</v>
      </c>
      <c r="E46" s="15"/>
      <c r="F46" s="38">
        <f t="shared" si="0"/>
        <v>15500000</v>
      </c>
      <c r="G46" s="38">
        <v>385749</v>
      </c>
      <c r="H46" s="38">
        <v>1687475</v>
      </c>
      <c r="I46" s="38">
        <v>125468</v>
      </c>
      <c r="J46" s="38">
        <v>986574</v>
      </c>
      <c r="K46" s="38">
        <v>1352477</v>
      </c>
      <c r="L46" s="38">
        <v>865792</v>
      </c>
      <c r="M46" s="38">
        <v>635011</v>
      </c>
      <c r="N46" s="38">
        <v>987712</v>
      </c>
      <c r="O46" s="38">
        <v>384635</v>
      </c>
      <c r="P46" s="38">
        <v>264872</v>
      </c>
      <c r="Q46" s="38">
        <v>341874</v>
      </c>
      <c r="R46" s="38">
        <v>578942</v>
      </c>
      <c r="S46" s="38">
        <f t="shared" si="1"/>
        <v>8596581</v>
      </c>
    </row>
    <row r="47" spans="1:19" x14ac:dyDescent="0.25">
      <c r="A47" s="10"/>
      <c r="B47" s="39"/>
      <c r="C47" s="40" t="s">
        <v>242</v>
      </c>
      <c r="D47" s="41">
        <v>7970000000</v>
      </c>
      <c r="E47" s="41"/>
      <c r="F47" s="41">
        <f t="shared" ref="F47:S47" si="2">SUM(F4:F46)</f>
        <v>7970000000</v>
      </c>
      <c r="G47" s="41">
        <f t="shared" si="2"/>
        <v>494530728</v>
      </c>
      <c r="H47" s="41">
        <f t="shared" si="2"/>
        <v>505702587</v>
      </c>
      <c r="I47" s="41">
        <f t="shared" si="2"/>
        <v>712778218</v>
      </c>
      <c r="J47" s="41">
        <f t="shared" si="2"/>
        <v>470707983</v>
      </c>
      <c r="K47" s="41">
        <f t="shared" si="2"/>
        <v>493572379</v>
      </c>
      <c r="L47" s="41">
        <f t="shared" si="2"/>
        <v>366198355</v>
      </c>
      <c r="M47" s="41">
        <f t="shared" si="2"/>
        <v>968369734</v>
      </c>
      <c r="N47" s="41">
        <f t="shared" si="2"/>
        <v>421271188</v>
      </c>
      <c r="O47" s="41">
        <f t="shared" si="2"/>
        <v>674317637</v>
      </c>
      <c r="P47" s="41">
        <f t="shared" si="2"/>
        <v>356654541.80000001</v>
      </c>
      <c r="Q47" s="41">
        <f t="shared" si="2"/>
        <v>299995781</v>
      </c>
      <c r="R47" s="41">
        <f>SUM(R4:R46)</f>
        <v>418084219</v>
      </c>
      <c r="S47" s="41">
        <f t="shared" si="2"/>
        <v>6182183350.8000002</v>
      </c>
    </row>
    <row r="48" spans="1:19" x14ac:dyDescent="0.25">
      <c r="A48" s="10"/>
      <c r="B48" s="34">
        <v>2</v>
      </c>
      <c r="C48" s="42" t="s">
        <v>243</v>
      </c>
      <c r="D48" s="10"/>
      <c r="E48" s="10"/>
      <c r="F48" s="10"/>
      <c r="G48" s="38"/>
      <c r="H48" s="10"/>
      <c r="I48" s="10"/>
      <c r="J48" s="10"/>
      <c r="K48" s="10"/>
      <c r="L48" s="38"/>
      <c r="M48" s="43"/>
      <c r="N48" s="43"/>
      <c r="O48" s="43"/>
      <c r="P48" s="43"/>
      <c r="Q48" s="43"/>
      <c r="R48" s="43"/>
    </row>
    <row r="49" spans="1:19" x14ac:dyDescent="0.25">
      <c r="A49" s="10"/>
      <c r="B49" s="34">
        <v>2.1</v>
      </c>
      <c r="C49" s="35" t="s">
        <v>244</v>
      </c>
      <c r="D49" s="38">
        <v>0</v>
      </c>
      <c r="E49" s="10"/>
      <c r="F49" s="38">
        <f>D49+E49</f>
        <v>0</v>
      </c>
      <c r="G49" s="38"/>
      <c r="H49" s="10"/>
      <c r="I49" s="10"/>
      <c r="J49" s="10"/>
      <c r="K49" s="10"/>
      <c r="L49" s="38"/>
      <c r="M49" s="38"/>
      <c r="N49" s="38"/>
      <c r="O49" s="38"/>
      <c r="P49" s="38"/>
      <c r="Q49" s="38"/>
      <c r="R49" s="38"/>
      <c r="S49" s="38">
        <f t="shared" ref="S49:S50" si="3">G49+H49+I49+J49+K49+L49+M49+N49+O49+P49+Q49+R49</f>
        <v>0</v>
      </c>
    </row>
    <row r="50" spans="1:19" x14ac:dyDescent="0.25">
      <c r="A50" s="10" t="s">
        <v>245</v>
      </c>
      <c r="B50" s="34">
        <v>2.2000000000000002</v>
      </c>
      <c r="C50" s="35" t="s">
        <v>246</v>
      </c>
      <c r="D50" s="44">
        <v>220000000</v>
      </c>
      <c r="E50" s="38">
        <f>731641866.3+78662250</f>
        <v>810304116.29999995</v>
      </c>
      <c r="F50" s="44">
        <f>D50+E50</f>
        <v>1030304116.3</v>
      </c>
      <c r="G50" s="38">
        <v>0</v>
      </c>
      <c r="H50" s="38">
        <v>0</v>
      </c>
      <c r="I50" s="38">
        <v>0</v>
      </c>
      <c r="J50" s="38">
        <v>0</v>
      </c>
      <c r="K50" s="38">
        <v>731641866.29999995</v>
      </c>
      <c r="L50" s="38">
        <v>78662250</v>
      </c>
      <c r="M50" s="38"/>
      <c r="N50" s="38"/>
      <c r="O50" s="38"/>
      <c r="P50" s="38"/>
      <c r="Q50" s="38"/>
      <c r="R50" s="38"/>
      <c r="S50" s="44">
        <f t="shared" si="3"/>
        <v>810304116.29999995</v>
      </c>
    </row>
    <row r="51" spans="1:19" x14ac:dyDescent="0.25">
      <c r="A51" s="10" t="s">
        <v>247</v>
      </c>
      <c r="B51" s="34">
        <v>2.2999999999999998</v>
      </c>
      <c r="C51" s="35" t="s">
        <v>248</v>
      </c>
      <c r="D51" s="44">
        <v>2753000000</v>
      </c>
      <c r="E51" s="10"/>
      <c r="F51" s="44">
        <f>F52+F53+F54+F55+F56</f>
        <v>2753000000</v>
      </c>
      <c r="G51" s="44">
        <f>SUM(G52:G56)</f>
        <v>74176195</v>
      </c>
      <c r="H51" s="44">
        <f t="shared" ref="H51:S51" si="4">SUM(H52:H56)</f>
        <v>77468581</v>
      </c>
      <c r="I51" s="44">
        <f t="shared" si="4"/>
        <v>75964184</v>
      </c>
      <c r="J51" s="44">
        <f t="shared" si="4"/>
        <v>90721266</v>
      </c>
      <c r="K51" s="44">
        <f t="shared" si="4"/>
        <v>76702549</v>
      </c>
      <c r="L51" s="44">
        <f t="shared" si="4"/>
        <v>180576802</v>
      </c>
      <c r="M51" s="44">
        <f t="shared" si="4"/>
        <v>192754145</v>
      </c>
      <c r="N51" s="44">
        <f t="shared" si="4"/>
        <v>215746678</v>
      </c>
      <c r="O51" s="44">
        <f t="shared" si="4"/>
        <v>261505498</v>
      </c>
      <c r="P51" s="44">
        <f t="shared" si="4"/>
        <v>177444819</v>
      </c>
      <c r="Q51" s="44">
        <f t="shared" si="4"/>
        <v>172151021</v>
      </c>
      <c r="R51" s="44">
        <f t="shared" si="4"/>
        <v>191274589</v>
      </c>
      <c r="S51" s="44">
        <f t="shared" si="4"/>
        <v>1786486327</v>
      </c>
    </row>
    <row r="52" spans="1:19" x14ac:dyDescent="0.25">
      <c r="A52" s="10" t="s">
        <v>249</v>
      </c>
      <c r="B52" s="36" t="s">
        <v>250</v>
      </c>
      <c r="C52" s="45" t="s">
        <v>251</v>
      </c>
      <c r="D52" s="38">
        <v>1033000000</v>
      </c>
      <c r="E52" s="10"/>
      <c r="F52" s="38">
        <f t="shared" ref="F52:F58" si="5">D52+E52</f>
        <v>1033000000</v>
      </c>
      <c r="G52" s="38">
        <f>38288204</f>
        <v>38288204</v>
      </c>
      <c r="H52" s="38">
        <v>36332304</v>
      </c>
      <c r="I52" s="38">
        <v>39524652</v>
      </c>
      <c r="J52" s="38">
        <v>38424681</v>
      </c>
      <c r="K52" s="38">
        <f>30841797+472771</f>
        <v>31314568</v>
      </c>
      <c r="L52" s="38">
        <v>78470661</v>
      </c>
      <c r="M52" s="38">
        <v>69562590</v>
      </c>
      <c r="N52" s="38">
        <f>10729659+19532773+46561656</f>
        <v>76824088</v>
      </c>
      <c r="O52" s="38">
        <f>8215748+19282901+39849654+55673550</f>
        <v>123021853</v>
      </c>
      <c r="P52" s="38">
        <v>83565809</v>
      </c>
      <c r="Q52" s="38">
        <v>80245874</v>
      </c>
      <c r="R52" s="38">
        <v>86770663</v>
      </c>
      <c r="S52" s="38">
        <f t="shared" ref="S52:S57" si="6">G52+H52+I52+J52+K52+L52+M52+N52+O52+P52+Q52+R52</f>
        <v>782345947</v>
      </c>
    </row>
    <row r="53" spans="1:19" x14ac:dyDescent="0.25">
      <c r="A53" s="10" t="s">
        <v>252</v>
      </c>
      <c r="B53" s="36" t="s">
        <v>253</v>
      </c>
      <c r="C53" s="45" t="s">
        <v>254</v>
      </c>
      <c r="D53" s="38">
        <v>160000000</v>
      </c>
      <c r="E53" s="10"/>
      <c r="F53" s="38">
        <f t="shared" si="5"/>
        <v>160000000</v>
      </c>
      <c r="G53" s="38">
        <v>9419668</v>
      </c>
      <c r="H53" s="38">
        <v>15200304</v>
      </c>
      <c r="I53" s="38">
        <v>21626760</v>
      </c>
      <c r="J53" s="38">
        <f>364898+2067763+14857808</f>
        <v>17290469</v>
      </c>
      <c r="K53" s="38">
        <v>14857652</v>
      </c>
      <c r="L53" s="38">
        <v>17911487</v>
      </c>
      <c r="M53" s="38">
        <f>5462790+10568974</f>
        <v>16031764</v>
      </c>
      <c r="N53" s="38">
        <f>71988+97194+545607+157250+1388104+11656005+5346904</f>
        <v>19263052</v>
      </c>
      <c r="O53" s="38">
        <v>21536874</v>
      </c>
      <c r="P53" s="38">
        <f>38264802+13250+594720-20000000</f>
        <v>18872772</v>
      </c>
      <c r="Q53" s="38">
        <v>19524472</v>
      </c>
      <c r="R53" s="38">
        <f>18872464+1384719</f>
        <v>20257183</v>
      </c>
      <c r="S53" s="38">
        <f t="shared" si="6"/>
        <v>211792457</v>
      </c>
    </row>
    <row r="54" spans="1:19" x14ac:dyDescent="0.25">
      <c r="A54" s="10" t="s">
        <v>255</v>
      </c>
      <c r="B54" s="36" t="s">
        <v>256</v>
      </c>
      <c r="C54" s="45" t="s">
        <v>257</v>
      </c>
      <c r="D54" s="38">
        <v>200000000</v>
      </c>
      <c r="E54" s="10"/>
      <c r="F54" s="38">
        <f t="shared" si="5"/>
        <v>200000000</v>
      </c>
      <c r="G54" s="38">
        <f>842863+9262940</f>
        <v>10105803</v>
      </c>
      <c r="H54" s="38">
        <v>7482101</v>
      </c>
      <c r="I54" s="38">
        <f>778462+7470099</f>
        <v>8248561</v>
      </c>
      <c r="J54" s="38">
        <f>8107347+842575+2548976</f>
        <v>11498898</v>
      </c>
      <c r="K54" s="38">
        <f>8074927+1188442+223040</f>
        <v>9486409</v>
      </c>
      <c r="L54" s="38">
        <v>544354</v>
      </c>
      <c r="M54" s="38">
        <v>343841</v>
      </c>
      <c r="N54" s="38">
        <f>232646+884818</f>
        <v>1117464</v>
      </c>
      <c r="O54" s="38">
        <v>1112900</v>
      </c>
      <c r="P54" s="38">
        <f>51977+12462</f>
        <v>64439</v>
      </c>
      <c r="Q54" s="38">
        <v>516107</v>
      </c>
      <c r="R54" s="38">
        <v>496665</v>
      </c>
      <c r="S54" s="38">
        <f t="shared" si="6"/>
        <v>51017542</v>
      </c>
    </row>
    <row r="55" spans="1:19" x14ac:dyDescent="0.25">
      <c r="A55" s="10" t="s">
        <v>258</v>
      </c>
      <c r="B55" s="46" t="s">
        <v>259</v>
      </c>
      <c r="C55" s="45" t="s">
        <v>260</v>
      </c>
      <c r="D55" s="38">
        <v>700000000</v>
      </c>
      <c r="E55" s="10"/>
      <c r="F55" s="38">
        <f t="shared" si="5"/>
        <v>700000000</v>
      </c>
      <c r="G55" s="38">
        <v>9770461</v>
      </c>
      <c r="H55" s="38">
        <v>8894562</v>
      </c>
      <c r="I55" s="38">
        <v>3578456</v>
      </c>
      <c r="J55" s="38">
        <v>13654854</v>
      </c>
      <c r="K55" s="38">
        <v>12587632</v>
      </c>
      <c r="L55" s="38">
        <v>48485054</v>
      </c>
      <c r="M55" s="38">
        <v>59400023</v>
      </c>
      <c r="N55" s="38">
        <v>67452325</v>
      </c>
      <c r="O55" s="38">
        <f>310714+12649559+52607175</f>
        <v>65567448</v>
      </c>
      <c r="P55" s="38">
        <f>8889692+15644327+801899+10000000</f>
        <v>35335918</v>
      </c>
      <c r="Q55" s="38">
        <v>37452119</v>
      </c>
      <c r="R55" s="38">
        <v>40874582</v>
      </c>
      <c r="S55" s="38">
        <f t="shared" si="6"/>
        <v>403053434</v>
      </c>
    </row>
    <row r="56" spans="1:19" x14ac:dyDescent="0.25">
      <c r="A56" s="10" t="s">
        <v>261</v>
      </c>
      <c r="B56" s="36" t="s">
        <v>262</v>
      </c>
      <c r="C56" s="45" t="s">
        <v>263</v>
      </c>
      <c r="D56" s="38">
        <v>660000000</v>
      </c>
      <c r="E56" s="15"/>
      <c r="F56" s="38">
        <f t="shared" si="5"/>
        <v>660000000</v>
      </c>
      <c r="G56" s="38">
        <v>6592059</v>
      </c>
      <c r="H56" s="38">
        <f>9258744+300566</f>
        <v>9559310</v>
      </c>
      <c r="I56" s="38">
        <v>2985755</v>
      </c>
      <c r="J56" s="38">
        <v>9852364</v>
      </c>
      <c r="K56" s="38">
        <v>8456288</v>
      </c>
      <c r="L56" s="38">
        <v>35165246</v>
      </c>
      <c r="M56" s="38">
        <v>47415927</v>
      </c>
      <c r="N56" s="38">
        <f>118542074-N55</f>
        <v>51089749</v>
      </c>
      <c r="O56" s="38">
        <f>40390781+9875642</f>
        <v>50266423</v>
      </c>
      <c r="P56" s="38">
        <f>29135418+470463+10000000</f>
        <v>39605881</v>
      </c>
      <c r="Q56" s="38">
        <v>34412449</v>
      </c>
      <c r="R56" s="38">
        <v>42875496</v>
      </c>
      <c r="S56" s="38">
        <f t="shared" si="6"/>
        <v>338276947</v>
      </c>
    </row>
    <row r="57" spans="1:19" x14ac:dyDescent="0.25">
      <c r="A57" s="10" t="s">
        <v>264</v>
      </c>
      <c r="B57" s="34">
        <v>2.4</v>
      </c>
      <c r="C57" s="35" t="s">
        <v>265</v>
      </c>
      <c r="D57" s="44">
        <v>6000000</v>
      </c>
      <c r="E57" s="10"/>
      <c r="F57" s="38">
        <f t="shared" si="5"/>
        <v>6000000</v>
      </c>
      <c r="G57" s="44">
        <v>0</v>
      </c>
      <c r="H57" s="44">
        <v>0</v>
      </c>
      <c r="I57" s="44">
        <v>0</v>
      </c>
      <c r="J57" s="44">
        <f>5661.44+16479.75+4089.27+1284.02+360.53+133.7+7177.66+6749.25+55.21+101.48+1201.18+59.2+152.23+6100.05+73283.88+3828.42+181803+49.2+7173.15+105.69+63136.97+3965+222171+105.69+3975.26+6320.26+135.98+1242.6+91.02+47.88+8361.79+91.02+1242.6+6320.6+135.98+47.88+1896.97+1913.3+5881.6+1968.84+1989.5+2009.01+2028.39+6042.63+2046.85+2081.63+2121.84+2141.58+6476.01+2178.79+4375+2230.69+1664.16+1664.15+19074</f>
        <v>703024.77999999991</v>
      </c>
      <c r="K57" s="44">
        <v>0</v>
      </c>
      <c r="L57" s="44"/>
      <c r="M57" s="44"/>
      <c r="N57" s="44"/>
      <c r="O57" s="44"/>
      <c r="P57" s="44">
        <v>956428</v>
      </c>
      <c r="Q57" s="44"/>
      <c r="R57" s="44">
        <v>3856241</v>
      </c>
      <c r="S57" s="44">
        <f t="shared" si="6"/>
        <v>5515693.7799999993</v>
      </c>
    </row>
    <row r="58" spans="1:19" x14ac:dyDescent="0.25">
      <c r="A58" s="10" t="s">
        <v>266</v>
      </c>
      <c r="B58" s="34">
        <v>2.5</v>
      </c>
      <c r="C58" s="35" t="s">
        <v>267</v>
      </c>
      <c r="D58" s="44">
        <v>1000000</v>
      </c>
      <c r="E58" s="10"/>
      <c r="F58" s="38">
        <f t="shared" si="5"/>
        <v>1000000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/>
      <c r="M58" s="38"/>
      <c r="N58" s="38"/>
      <c r="O58" s="38"/>
      <c r="P58" s="38"/>
      <c r="Q58" s="38"/>
      <c r="R58" s="38"/>
      <c r="S58" s="38">
        <f t="shared" ref="S58" si="7">G58+H58+I58+J58+K58+L58+M58+N58</f>
        <v>0</v>
      </c>
    </row>
    <row r="59" spans="1:19" x14ac:dyDescent="0.25">
      <c r="A59" s="10"/>
      <c r="B59" s="39"/>
      <c r="C59" s="40" t="s">
        <v>268</v>
      </c>
      <c r="D59" s="41">
        <f t="shared" ref="D59:S59" si="8">D50+D51+D57+D58</f>
        <v>2980000000</v>
      </c>
      <c r="E59" s="41">
        <f t="shared" si="8"/>
        <v>810304116.29999995</v>
      </c>
      <c r="F59" s="41">
        <f t="shared" si="8"/>
        <v>3790304116.3000002</v>
      </c>
      <c r="G59" s="41">
        <f t="shared" si="8"/>
        <v>74176195</v>
      </c>
      <c r="H59" s="41">
        <f t="shared" si="8"/>
        <v>77468581</v>
      </c>
      <c r="I59" s="41">
        <f t="shared" si="8"/>
        <v>75964184</v>
      </c>
      <c r="J59" s="41">
        <f t="shared" si="8"/>
        <v>91424290.780000001</v>
      </c>
      <c r="K59" s="41">
        <f t="shared" si="8"/>
        <v>808344415.29999995</v>
      </c>
      <c r="L59" s="41">
        <f t="shared" si="8"/>
        <v>259239052</v>
      </c>
      <c r="M59" s="41">
        <f t="shared" si="8"/>
        <v>192754145</v>
      </c>
      <c r="N59" s="41">
        <f t="shared" si="8"/>
        <v>215746678</v>
      </c>
      <c r="O59" s="41">
        <f t="shared" si="8"/>
        <v>261505498</v>
      </c>
      <c r="P59" s="41">
        <f t="shared" si="8"/>
        <v>178401247</v>
      </c>
      <c r="Q59" s="41">
        <f t="shared" si="8"/>
        <v>172151021</v>
      </c>
      <c r="R59" s="41">
        <f t="shared" si="8"/>
        <v>195130830</v>
      </c>
      <c r="S59" s="41">
        <f t="shared" si="8"/>
        <v>2602306137.0800004</v>
      </c>
    </row>
    <row r="60" spans="1:19" ht="15.75" x14ac:dyDescent="0.25">
      <c r="A60" s="10"/>
      <c r="B60" s="47" t="s">
        <v>269</v>
      </c>
      <c r="C60" s="47"/>
      <c r="D60" s="48">
        <f t="shared" ref="D60:S60" si="9">D47+D50+D51+D57+D58</f>
        <v>10950000000</v>
      </c>
      <c r="E60" s="49">
        <f t="shared" si="9"/>
        <v>810304116.29999995</v>
      </c>
      <c r="F60" s="49">
        <f t="shared" si="9"/>
        <v>11760304116.299999</v>
      </c>
      <c r="G60" s="48">
        <f t="shared" si="9"/>
        <v>568706923</v>
      </c>
      <c r="H60" s="48">
        <f t="shared" si="9"/>
        <v>583171168</v>
      </c>
      <c r="I60" s="48">
        <f t="shared" si="9"/>
        <v>788742402</v>
      </c>
      <c r="J60" s="49">
        <f t="shared" si="9"/>
        <v>562132273.77999997</v>
      </c>
      <c r="K60" s="49">
        <f t="shared" si="9"/>
        <v>1301916794.3</v>
      </c>
      <c r="L60" s="49">
        <f t="shared" si="9"/>
        <v>625437407</v>
      </c>
      <c r="M60" s="49">
        <f t="shared" si="9"/>
        <v>1161123879</v>
      </c>
      <c r="N60" s="49">
        <f t="shared" si="9"/>
        <v>637017866</v>
      </c>
      <c r="O60" s="49">
        <f t="shared" si="9"/>
        <v>935823135</v>
      </c>
      <c r="P60" s="49">
        <f t="shared" si="9"/>
        <v>535055788.80000001</v>
      </c>
      <c r="Q60" s="49">
        <f t="shared" si="9"/>
        <v>472146802</v>
      </c>
      <c r="R60" s="49">
        <f t="shared" si="9"/>
        <v>613215049</v>
      </c>
      <c r="S60" s="49">
        <f t="shared" si="9"/>
        <v>8784489487.8800011</v>
      </c>
    </row>
  </sheetData>
  <mergeCells count="20">
    <mergeCell ref="S1:S2"/>
    <mergeCell ref="B60:C60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workbookViewId="0">
      <selection activeCell="H5" sqref="H5"/>
    </sheetView>
  </sheetViews>
  <sheetFormatPr baseColWidth="10" defaultRowHeight="15" x14ac:dyDescent="0.25"/>
  <sheetData>
    <row r="1" spans="1:20" ht="15.75" customHeight="1" x14ac:dyDescent="0.25">
      <c r="A1" s="50" t="s">
        <v>270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.75" x14ac:dyDescent="0.25">
      <c r="A2" s="51" t="s">
        <v>0</v>
      </c>
      <c r="B2" s="51" t="s">
        <v>1</v>
      </c>
      <c r="C2" s="51" t="s">
        <v>271</v>
      </c>
      <c r="D2" s="52" t="s">
        <v>272</v>
      </c>
      <c r="E2" s="53"/>
      <c r="F2" s="51" t="s">
        <v>4</v>
      </c>
      <c r="G2" s="51" t="s">
        <v>273</v>
      </c>
      <c r="H2" s="51" t="s">
        <v>6</v>
      </c>
      <c r="I2" s="51" t="s">
        <v>7</v>
      </c>
      <c r="J2" s="51" t="s">
        <v>8</v>
      </c>
      <c r="K2" s="51" t="s">
        <v>9</v>
      </c>
      <c r="L2" s="51" t="s">
        <v>10</v>
      </c>
      <c r="M2" s="51" t="s">
        <v>11</v>
      </c>
      <c r="N2" s="51" t="s">
        <v>12</v>
      </c>
      <c r="O2" s="51" t="s">
        <v>13</v>
      </c>
      <c r="P2" s="51" t="s">
        <v>14</v>
      </c>
      <c r="Q2" s="51" t="s">
        <v>15</v>
      </c>
      <c r="R2" s="51" t="s">
        <v>16</v>
      </c>
      <c r="S2" s="51" t="s">
        <v>17</v>
      </c>
      <c r="T2" s="51" t="s">
        <v>274</v>
      </c>
    </row>
    <row r="3" spans="1:20" ht="31.5" x14ac:dyDescent="0.25">
      <c r="A3" s="54"/>
      <c r="B3" s="54"/>
      <c r="C3" s="54"/>
      <c r="D3" s="55" t="s">
        <v>19</v>
      </c>
      <c r="E3" s="55" t="s">
        <v>275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63" x14ac:dyDescent="0.25">
      <c r="A4" s="56"/>
      <c r="B4" s="57" t="s">
        <v>21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0" ht="47.25" x14ac:dyDescent="0.25">
      <c r="A5" s="56"/>
      <c r="B5" s="57" t="s">
        <v>22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0" ht="94.5" x14ac:dyDescent="0.25">
      <c r="A6" s="58">
        <v>30501</v>
      </c>
      <c r="B6" s="57" t="s">
        <v>23</v>
      </c>
      <c r="C6" s="59">
        <f>SUM(C7:C17)</f>
        <v>4022665696</v>
      </c>
      <c r="D6" s="59">
        <f t="shared" ref="D6:S6" si="0">SUM(D7:D17)</f>
        <v>270700000</v>
      </c>
      <c r="E6" s="59">
        <f t="shared" si="0"/>
        <v>45000000</v>
      </c>
      <c r="F6" s="59">
        <f t="shared" si="0"/>
        <v>0</v>
      </c>
      <c r="G6" s="59">
        <f t="shared" si="0"/>
        <v>4248365696</v>
      </c>
      <c r="H6" s="59">
        <f t="shared" si="0"/>
        <v>290043177</v>
      </c>
      <c r="I6" s="59">
        <f t="shared" si="0"/>
        <v>285753880</v>
      </c>
      <c r="J6" s="59">
        <f t="shared" si="0"/>
        <v>280993839</v>
      </c>
      <c r="K6" s="59">
        <f t="shared" si="0"/>
        <v>299514360</v>
      </c>
      <c r="L6" s="59">
        <f t="shared" si="0"/>
        <v>286116645</v>
      </c>
      <c r="M6" s="59">
        <f t="shared" si="0"/>
        <v>301828330</v>
      </c>
      <c r="N6" s="59">
        <f t="shared" si="0"/>
        <v>542959023</v>
      </c>
      <c r="O6" s="59">
        <f t="shared" si="0"/>
        <v>333191529</v>
      </c>
      <c r="P6" s="59">
        <f t="shared" si="0"/>
        <v>309101965</v>
      </c>
      <c r="Q6" s="59">
        <f t="shared" si="0"/>
        <v>295167241</v>
      </c>
      <c r="R6" s="59">
        <f t="shared" si="0"/>
        <v>320968201</v>
      </c>
      <c r="S6" s="59">
        <f t="shared" si="0"/>
        <v>317858607</v>
      </c>
      <c r="T6" s="59">
        <f>SUM(T7:T17)</f>
        <v>3863496797</v>
      </c>
    </row>
    <row r="7" spans="1:20" ht="63" x14ac:dyDescent="0.25">
      <c r="A7" s="58">
        <v>30501180401</v>
      </c>
      <c r="B7" s="60" t="s">
        <v>24</v>
      </c>
      <c r="C7" s="61">
        <v>3054529442</v>
      </c>
      <c r="D7" s="61">
        <v>45300000</v>
      </c>
      <c r="E7" s="61"/>
      <c r="F7" s="62"/>
      <c r="G7" s="62">
        <f>C7+D7-E7+F7</f>
        <v>3099829442</v>
      </c>
      <c r="H7" s="61">
        <v>243274394</v>
      </c>
      <c r="I7" s="61">
        <v>248637815</v>
      </c>
      <c r="J7" s="61">
        <v>236602499</v>
      </c>
      <c r="K7" s="61">
        <v>241621244</v>
      </c>
      <c r="L7" s="61">
        <v>243226636</v>
      </c>
      <c r="M7" s="61">
        <v>254060455</v>
      </c>
      <c r="N7" s="61">
        <v>339829240</v>
      </c>
      <c r="O7" s="61">
        <v>261630075</v>
      </c>
      <c r="P7" s="61">
        <v>259908483</v>
      </c>
      <c r="Q7" s="61">
        <v>248672171</v>
      </c>
      <c r="R7" s="61">
        <v>260478171</v>
      </c>
      <c r="S7" s="61"/>
      <c r="T7" s="62">
        <f>H7+I7+J7+K7+L7+M7+N7+O7+P7+Q7+R7+S7</f>
        <v>2837941183</v>
      </c>
    </row>
    <row r="8" spans="1:20" ht="31.5" x14ac:dyDescent="0.25">
      <c r="A8" s="58">
        <v>30501180402</v>
      </c>
      <c r="B8" s="57" t="s">
        <v>25</v>
      </c>
      <c r="C8" s="62">
        <v>257189583</v>
      </c>
      <c r="D8" s="62">
        <v>70000000</v>
      </c>
      <c r="E8" s="62">
        <f>10700000</f>
        <v>10700000</v>
      </c>
      <c r="F8" s="62"/>
      <c r="G8" s="62">
        <f t="shared" ref="G8:G29" si="1">C8+D8-E8+F8</f>
        <v>316489583</v>
      </c>
      <c r="H8" s="61"/>
      <c r="I8" s="61"/>
      <c r="J8" s="61">
        <v>0</v>
      </c>
      <c r="K8" s="61"/>
      <c r="L8" s="61"/>
      <c r="M8" s="61"/>
      <c r="N8" s="61"/>
      <c r="O8" s="61"/>
      <c r="P8" s="61"/>
      <c r="Q8" s="61">
        <v>0</v>
      </c>
      <c r="R8" s="61"/>
      <c r="S8" s="61">
        <v>314657683</v>
      </c>
      <c r="T8" s="62">
        <f t="shared" ref="T8:T29" si="2">H8+I8+J8+K8+L8+M8+N8+O8+P8+Q8+R8+S8</f>
        <v>314657683</v>
      </c>
    </row>
    <row r="9" spans="1:20" ht="47.25" x14ac:dyDescent="0.25">
      <c r="A9" s="58">
        <v>30501180403</v>
      </c>
      <c r="B9" s="57" t="s">
        <v>26</v>
      </c>
      <c r="C9" s="62">
        <v>128149827</v>
      </c>
      <c r="D9" s="62"/>
      <c r="E9" s="62">
        <v>20000000</v>
      </c>
      <c r="F9" s="62"/>
      <c r="G9" s="62">
        <f t="shared" si="1"/>
        <v>108149827</v>
      </c>
      <c r="H9" s="61">
        <v>5450543</v>
      </c>
      <c r="I9" s="61">
        <v>9503763</v>
      </c>
      <c r="J9" s="61">
        <v>6153039</v>
      </c>
      <c r="K9" s="61">
        <v>10832273</v>
      </c>
      <c r="L9" s="61">
        <v>7357416</v>
      </c>
      <c r="M9" s="61">
        <v>8596075</v>
      </c>
      <c r="N9" s="61">
        <v>4912094</v>
      </c>
      <c r="O9" s="61">
        <v>17499012</v>
      </c>
      <c r="P9" s="61">
        <v>10589604</v>
      </c>
      <c r="Q9" s="61">
        <v>7357476</v>
      </c>
      <c r="R9" s="61">
        <v>2664351</v>
      </c>
      <c r="S9" s="61">
        <v>2846831</v>
      </c>
      <c r="T9" s="62">
        <f t="shared" si="2"/>
        <v>93762477</v>
      </c>
    </row>
    <row r="10" spans="1:20" ht="78.75" x14ac:dyDescent="0.25">
      <c r="A10" s="58">
        <v>30501180404</v>
      </c>
      <c r="B10" s="57" t="s">
        <v>27</v>
      </c>
      <c r="C10" s="62">
        <v>15000000</v>
      </c>
      <c r="D10" s="62"/>
      <c r="E10" s="62">
        <v>10000000</v>
      </c>
      <c r="F10" s="62"/>
      <c r="G10" s="62">
        <f t="shared" si="1"/>
        <v>5000000</v>
      </c>
      <c r="H10" s="61"/>
      <c r="I10" s="61"/>
      <c r="J10" s="61">
        <v>0</v>
      </c>
      <c r="K10" s="61"/>
      <c r="L10" s="61"/>
      <c r="M10" s="61"/>
      <c r="N10" s="61"/>
      <c r="O10" s="61"/>
      <c r="P10" s="61"/>
      <c r="Q10" s="61">
        <v>0</v>
      </c>
      <c r="R10" s="61"/>
      <c r="S10" s="61">
        <v>0</v>
      </c>
      <c r="T10" s="62">
        <f t="shared" si="2"/>
        <v>0</v>
      </c>
    </row>
    <row r="11" spans="1:20" ht="63" x14ac:dyDescent="0.25">
      <c r="A11" s="58">
        <v>30501180405</v>
      </c>
      <c r="B11" s="57" t="s">
        <v>28</v>
      </c>
      <c r="C11" s="62">
        <v>3000000</v>
      </c>
      <c r="D11" s="62"/>
      <c r="E11" s="62"/>
      <c r="F11" s="62"/>
      <c r="G11" s="62">
        <f t="shared" si="1"/>
        <v>3000000</v>
      </c>
      <c r="H11" s="61">
        <v>107268</v>
      </c>
      <c r="I11" s="61">
        <v>107268</v>
      </c>
      <c r="J11" s="61">
        <v>166280</v>
      </c>
      <c r="K11" s="61">
        <v>166280</v>
      </c>
      <c r="L11" s="61">
        <v>166280</v>
      </c>
      <c r="M11" s="61">
        <v>166280</v>
      </c>
      <c r="N11" s="61">
        <v>166280</v>
      </c>
      <c r="O11" s="61">
        <v>166280</v>
      </c>
      <c r="P11" s="61">
        <v>83140</v>
      </c>
      <c r="Q11" s="61">
        <v>135795</v>
      </c>
      <c r="R11" s="61">
        <v>166280</v>
      </c>
      <c r="S11" s="61"/>
      <c r="T11" s="62">
        <f t="shared" si="2"/>
        <v>1597431</v>
      </c>
    </row>
    <row r="12" spans="1:20" ht="31.5" x14ac:dyDescent="0.25">
      <c r="A12" s="58">
        <v>30501180406</v>
      </c>
      <c r="B12" s="57" t="s">
        <v>29</v>
      </c>
      <c r="C12" s="62">
        <v>27000000</v>
      </c>
      <c r="D12" s="62"/>
      <c r="E12" s="62">
        <v>4300000</v>
      </c>
      <c r="F12" s="62"/>
      <c r="G12" s="62">
        <f t="shared" si="1"/>
        <v>22700000</v>
      </c>
      <c r="H12" s="61"/>
      <c r="I12" s="61"/>
      <c r="J12" s="61">
        <v>0</v>
      </c>
      <c r="K12" s="61"/>
      <c r="L12" s="61"/>
      <c r="M12" s="61"/>
      <c r="N12" s="61"/>
      <c r="O12" s="61">
        <v>3692494</v>
      </c>
      <c r="P12" s="61"/>
      <c r="Q12" s="61"/>
      <c r="R12" s="61">
        <v>18893365</v>
      </c>
      <c r="S12" s="61">
        <v>0</v>
      </c>
      <c r="T12" s="62">
        <f t="shared" si="2"/>
        <v>22585859</v>
      </c>
    </row>
    <row r="13" spans="1:20" ht="94.5" x14ac:dyDescent="0.25">
      <c r="A13" s="58">
        <v>30501180407</v>
      </c>
      <c r="B13" s="57" t="s">
        <v>30</v>
      </c>
      <c r="C13" s="62">
        <v>1000000</v>
      </c>
      <c r="D13" s="62"/>
      <c r="E13" s="62"/>
      <c r="F13" s="62"/>
      <c r="G13" s="62">
        <f t="shared" si="1"/>
        <v>1000000</v>
      </c>
      <c r="H13" s="61"/>
      <c r="I13" s="61"/>
      <c r="J13" s="61">
        <v>0</v>
      </c>
      <c r="K13" s="61"/>
      <c r="L13" s="61"/>
      <c r="M13" s="61"/>
      <c r="N13" s="61"/>
      <c r="O13" s="61"/>
      <c r="P13" s="61"/>
      <c r="Q13" s="61"/>
      <c r="R13" s="61"/>
      <c r="S13" s="61">
        <v>0</v>
      </c>
      <c r="T13" s="62">
        <f t="shared" si="2"/>
        <v>0</v>
      </c>
    </row>
    <row r="14" spans="1:20" ht="47.25" x14ac:dyDescent="0.25">
      <c r="A14" s="58">
        <v>30501180408</v>
      </c>
      <c r="B14" s="57" t="s">
        <v>31</v>
      </c>
      <c r="C14" s="62">
        <v>300000000</v>
      </c>
      <c r="D14" s="62">
        <f>90000000+15000000+2700000</f>
        <v>107700000</v>
      </c>
      <c r="E14" s="62"/>
      <c r="F14" s="62"/>
      <c r="G14" s="62">
        <f t="shared" si="1"/>
        <v>407700000</v>
      </c>
      <c r="H14" s="61">
        <v>30970283</v>
      </c>
      <c r="I14" s="61">
        <v>23046868</v>
      </c>
      <c r="J14" s="61">
        <v>29033767</v>
      </c>
      <c r="K14" s="61">
        <v>39852756</v>
      </c>
      <c r="L14" s="61">
        <v>30230764</v>
      </c>
      <c r="M14" s="61">
        <v>31427020</v>
      </c>
      <c r="N14" s="61">
        <v>54360179</v>
      </c>
      <c r="O14" s="61">
        <v>32225375</v>
      </c>
      <c r="P14" s="61">
        <v>26332600</v>
      </c>
      <c r="Q14" s="61">
        <v>32038412</v>
      </c>
      <c r="R14" s="61">
        <v>35123282</v>
      </c>
      <c r="S14" s="61"/>
      <c r="T14" s="62">
        <f t="shared" si="2"/>
        <v>364641306</v>
      </c>
    </row>
    <row r="15" spans="1:20" ht="31.5" x14ac:dyDescent="0.25">
      <c r="A15" s="58">
        <v>30501180409</v>
      </c>
      <c r="B15" s="57" t="s">
        <v>32</v>
      </c>
      <c r="C15" s="62">
        <v>127706402</v>
      </c>
      <c r="D15" s="62">
        <v>10700000</v>
      </c>
      <c r="E15" s="62"/>
      <c r="F15" s="62"/>
      <c r="G15" s="62">
        <f t="shared" si="1"/>
        <v>138406402</v>
      </c>
      <c r="H15" s="61"/>
      <c r="I15" s="61"/>
      <c r="J15" s="61">
        <v>0</v>
      </c>
      <c r="K15" s="61"/>
      <c r="L15" s="61"/>
      <c r="M15" s="61"/>
      <c r="N15" s="61">
        <v>138291178</v>
      </c>
      <c r="O15" s="61"/>
      <c r="P15" s="61"/>
      <c r="Q15" s="61"/>
      <c r="R15" s="61"/>
      <c r="S15" s="61">
        <v>0</v>
      </c>
      <c r="T15" s="62">
        <f t="shared" si="2"/>
        <v>138291178</v>
      </c>
    </row>
    <row r="16" spans="1:20" ht="78.75" x14ac:dyDescent="0.25">
      <c r="A16" s="58">
        <v>30501180410</v>
      </c>
      <c r="B16" s="57" t="s">
        <v>33</v>
      </c>
      <c r="C16" s="62">
        <v>89090442</v>
      </c>
      <c r="D16" s="62">
        <v>27000000</v>
      </c>
      <c r="E16" s="62"/>
      <c r="F16" s="62"/>
      <c r="G16" s="62">
        <f t="shared" si="1"/>
        <v>116090442</v>
      </c>
      <c r="H16" s="61">
        <v>9548557</v>
      </c>
      <c r="I16" s="61">
        <v>3257578</v>
      </c>
      <c r="J16" s="61">
        <v>8259466</v>
      </c>
      <c r="K16" s="61">
        <v>5682893</v>
      </c>
      <c r="L16" s="61">
        <v>4215231</v>
      </c>
      <c r="M16" s="61">
        <v>6509386</v>
      </c>
      <c r="N16" s="61">
        <v>5080233</v>
      </c>
      <c r="O16" s="61">
        <v>15798469</v>
      </c>
      <c r="P16" s="61">
        <v>770992</v>
      </c>
      <c r="Q16" s="61">
        <v>6048261</v>
      </c>
      <c r="R16" s="61">
        <v>3310790</v>
      </c>
      <c r="S16" s="61"/>
      <c r="T16" s="62">
        <f t="shared" si="2"/>
        <v>68481856</v>
      </c>
    </row>
    <row r="17" spans="1:20" ht="63" x14ac:dyDescent="0.25">
      <c r="A17" s="58">
        <v>30501180411</v>
      </c>
      <c r="B17" s="57" t="s">
        <v>34</v>
      </c>
      <c r="C17" s="62">
        <v>20000000</v>
      </c>
      <c r="D17" s="62">
        <v>10000000</v>
      </c>
      <c r="E17" s="62"/>
      <c r="F17" s="62"/>
      <c r="G17" s="62">
        <f t="shared" si="1"/>
        <v>30000000</v>
      </c>
      <c r="H17" s="61">
        <v>692132</v>
      </c>
      <c r="I17" s="61">
        <v>1200588</v>
      </c>
      <c r="J17" s="61">
        <v>778788</v>
      </c>
      <c r="K17" s="61">
        <v>1358914</v>
      </c>
      <c r="L17" s="61">
        <v>920318</v>
      </c>
      <c r="M17" s="61">
        <v>1069114</v>
      </c>
      <c r="N17" s="61">
        <v>319819</v>
      </c>
      <c r="O17" s="61">
        <v>2179824</v>
      </c>
      <c r="P17" s="61">
        <v>11417146</v>
      </c>
      <c r="Q17" s="61">
        <v>915126</v>
      </c>
      <c r="R17" s="61">
        <v>331962</v>
      </c>
      <c r="S17" s="61">
        <v>354093</v>
      </c>
      <c r="T17" s="62">
        <f t="shared" si="2"/>
        <v>21537824</v>
      </c>
    </row>
    <row r="18" spans="1:20" ht="78.75" x14ac:dyDescent="0.25">
      <c r="A18" s="56"/>
      <c r="B18" s="57" t="s">
        <v>35</v>
      </c>
      <c r="C18" s="59">
        <f t="shared" ref="C18:G18" si="3">SUM(C19:C22)</f>
        <v>1403207526</v>
      </c>
      <c r="D18" s="59">
        <f t="shared" si="3"/>
        <v>0</v>
      </c>
      <c r="E18" s="59">
        <f t="shared" si="3"/>
        <v>30000000</v>
      </c>
      <c r="F18" s="59">
        <f t="shared" si="3"/>
        <v>0</v>
      </c>
      <c r="G18" s="59">
        <f t="shared" si="3"/>
        <v>1373207526</v>
      </c>
      <c r="H18" s="59">
        <f t="shared" ref="H18:I18" si="4">SUM(H19:H22)</f>
        <v>58452988</v>
      </c>
      <c r="I18" s="59">
        <f t="shared" si="4"/>
        <v>52998721</v>
      </c>
      <c r="J18" s="59">
        <f>SUM(J19:J22)</f>
        <v>205000000</v>
      </c>
      <c r="K18" s="59">
        <f t="shared" ref="K18:T18" si="5">SUM(K19:K22)</f>
        <v>63500000</v>
      </c>
      <c r="L18" s="59">
        <f t="shared" si="5"/>
        <v>80700000</v>
      </c>
      <c r="M18" s="59">
        <f t="shared" si="5"/>
        <v>84905756</v>
      </c>
      <c r="N18" s="59">
        <f t="shared" si="5"/>
        <v>81616666</v>
      </c>
      <c r="O18" s="59">
        <f t="shared" si="5"/>
        <v>0</v>
      </c>
      <c r="P18" s="59">
        <f t="shared" si="5"/>
        <v>68000000</v>
      </c>
      <c r="Q18" s="59">
        <f t="shared" si="5"/>
        <v>0</v>
      </c>
      <c r="R18" s="59">
        <f t="shared" si="5"/>
        <v>0</v>
      </c>
      <c r="S18" s="59">
        <f t="shared" si="5"/>
        <v>104372619</v>
      </c>
      <c r="T18" s="59">
        <f t="shared" si="5"/>
        <v>799546750</v>
      </c>
    </row>
    <row r="19" spans="1:20" ht="126" x14ac:dyDescent="0.25">
      <c r="A19" s="58">
        <v>30501180412</v>
      </c>
      <c r="B19" s="57" t="s">
        <v>36</v>
      </c>
      <c r="C19" s="62">
        <v>459500000</v>
      </c>
      <c r="D19" s="62"/>
      <c r="E19" s="62">
        <v>30000000</v>
      </c>
      <c r="F19" s="62"/>
      <c r="G19" s="62">
        <f t="shared" si="1"/>
        <v>429500000</v>
      </c>
      <c r="H19" s="61">
        <v>25500000</v>
      </c>
      <c r="I19" s="61">
        <v>36000000</v>
      </c>
      <c r="J19" s="61">
        <v>167000000</v>
      </c>
      <c r="K19" s="61">
        <v>25500000</v>
      </c>
      <c r="L19" s="61">
        <v>0</v>
      </c>
      <c r="M19" s="61">
        <v>41400000</v>
      </c>
      <c r="N19" s="61">
        <v>81616666</v>
      </c>
      <c r="O19" s="61"/>
      <c r="P19" s="61"/>
      <c r="Q19" s="61"/>
      <c r="R19" s="61"/>
      <c r="S19" s="61">
        <v>17145116</v>
      </c>
      <c r="T19" s="62">
        <f t="shared" si="2"/>
        <v>394161782</v>
      </c>
    </row>
    <row r="20" spans="1:20" ht="78.75" x14ac:dyDescent="0.25">
      <c r="A20" s="58">
        <v>30501180413</v>
      </c>
      <c r="B20" s="57" t="s">
        <v>37</v>
      </c>
      <c r="C20" s="62">
        <v>250000000</v>
      </c>
      <c r="D20" s="62"/>
      <c r="E20" s="62"/>
      <c r="F20" s="62"/>
      <c r="G20" s="62">
        <f t="shared" si="1"/>
        <v>250000000</v>
      </c>
      <c r="H20" s="61">
        <v>32952988</v>
      </c>
      <c r="I20" s="61">
        <v>16998721</v>
      </c>
      <c r="J20" s="61"/>
      <c r="K20" s="61">
        <v>0</v>
      </c>
      <c r="L20" s="61">
        <v>12700000</v>
      </c>
      <c r="M20" s="61">
        <v>1835252</v>
      </c>
      <c r="N20" s="61"/>
      <c r="O20" s="61"/>
      <c r="P20" s="61"/>
      <c r="Q20" s="61"/>
      <c r="R20" s="61"/>
      <c r="S20" s="61">
        <f>60123254+57255+22478056+83140</f>
        <v>82741705</v>
      </c>
      <c r="T20" s="62">
        <f t="shared" si="2"/>
        <v>147228666</v>
      </c>
    </row>
    <row r="21" spans="1:20" ht="63" x14ac:dyDescent="0.25">
      <c r="A21" s="58">
        <v>30501180414</v>
      </c>
      <c r="B21" s="57" t="s">
        <v>38</v>
      </c>
      <c r="C21" s="62">
        <v>692707526</v>
      </c>
      <c r="D21" s="62"/>
      <c r="E21" s="62"/>
      <c r="F21" s="62"/>
      <c r="G21" s="62">
        <f t="shared" si="1"/>
        <v>692707526</v>
      </c>
      <c r="H21" s="61"/>
      <c r="I21" s="61"/>
      <c r="J21" s="61">
        <v>38000000</v>
      </c>
      <c r="K21" s="61">
        <v>38000000</v>
      </c>
      <c r="L21" s="61">
        <v>68000000</v>
      </c>
      <c r="M21" s="61">
        <v>41670504</v>
      </c>
      <c r="N21" s="61"/>
      <c r="O21" s="61"/>
      <c r="P21" s="61">
        <v>68000000</v>
      </c>
      <c r="Q21" s="61"/>
      <c r="R21" s="61"/>
      <c r="S21" s="61">
        <v>4485798</v>
      </c>
      <c r="T21" s="62">
        <f t="shared" si="2"/>
        <v>258156302</v>
      </c>
    </row>
    <row r="22" spans="1:20" ht="94.5" x14ac:dyDescent="0.25">
      <c r="A22" s="58">
        <v>30501180415</v>
      </c>
      <c r="B22" s="57" t="s">
        <v>39</v>
      </c>
      <c r="C22" s="62">
        <v>1000000</v>
      </c>
      <c r="D22" s="62"/>
      <c r="E22" s="62"/>
      <c r="F22" s="62"/>
      <c r="G22" s="62">
        <f t="shared" si="1"/>
        <v>1000000</v>
      </c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2">
        <f t="shared" si="2"/>
        <v>0</v>
      </c>
    </row>
    <row r="23" spans="1:20" ht="110.25" x14ac:dyDescent="0.25">
      <c r="A23" s="58">
        <v>30501180416</v>
      </c>
      <c r="B23" s="57" t="s">
        <v>40</v>
      </c>
      <c r="C23" s="59">
        <f>SUM(C24:C29)</f>
        <v>1278084245</v>
      </c>
      <c r="D23" s="59">
        <f t="shared" ref="D23:G23" si="6">SUM(D24:D29)</f>
        <v>0</v>
      </c>
      <c r="E23" s="59">
        <f t="shared" si="6"/>
        <v>183300000</v>
      </c>
      <c r="F23" s="59">
        <f t="shared" si="6"/>
        <v>0</v>
      </c>
      <c r="G23" s="59">
        <f t="shared" si="6"/>
        <v>1094784245</v>
      </c>
      <c r="H23" s="59">
        <f>SUM(H24:H29)</f>
        <v>63294216</v>
      </c>
      <c r="I23" s="59">
        <f t="shared" ref="I23:T23" si="7">SUM(I24:I29)</f>
        <v>62564452</v>
      </c>
      <c r="J23" s="59">
        <f t="shared" si="7"/>
        <v>61121814</v>
      </c>
      <c r="K23" s="59">
        <f t="shared" si="7"/>
        <v>63592345</v>
      </c>
      <c r="L23" s="59">
        <f t="shared" si="7"/>
        <v>65154374</v>
      </c>
      <c r="M23" s="59">
        <f t="shared" si="7"/>
        <v>56845921</v>
      </c>
      <c r="N23" s="59">
        <f t="shared" si="7"/>
        <v>76952816</v>
      </c>
      <c r="O23" s="59">
        <f t="shared" si="7"/>
        <v>58471399</v>
      </c>
      <c r="P23" s="59">
        <f t="shared" si="7"/>
        <v>57172249</v>
      </c>
      <c r="Q23" s="59">
        <f t="shared" si="7"/>
        <v>56827755</v>
      </c>
      <c r="R23" s="59">
        <f t="shared" si="7"/>
        <v>62235783</v>
      </c>
      <c r="S23" s="59">
        <f t="shared" si="7"/>
        <v>157345724</v>
      </c>
      <c r="T23" s="63">
        <f t="shared" si="7"/>
        <v>841578848</v>
      </c>
    </row>
    <row r="24" spans="1:20" ht="78.75" x14ac:dyDescent="0.25">
      <c r="A24" s="58">
        <v>30501180417</v>
      </c>
      <c r="B24" s="57" t="s">
        <v>41</v>
      </c>
      <c r="C24" s="62">
        <v>122301178</v>
      </c>
      <c r="D24" s="62"/>
      <c r="E24" s="62"/>
      <c r="F24" s="62"/>
      <c r="G24" s="62">
        <f t="shared" si="1"/>
        <v>122301178</v>
      </c>
      <c r="H24" s="64">
        <v>9518100</v>
      </c>
      <c r="I24" s="64">
        <v>9303400</v>
      </c>
      <c r="J24" s="64">
        <v>8956874</v>
      </c>
      <c r="K24" s="64">
        <v>9056235</v>
      </c>
      <c r="L24" s="64">
        <v>9154789</v>
      </c>
      <c r="M24" s="64">
        <v>9456871</v>
      </c>
      <c r="N24" s="64">
        <v>10574822</v>
      </c>
      <c r="O24" s="64">
        <v>7542681</v>
      </c>
      <c r="P24" s="64">
        <v>7241864</v>
      </c>
      <c r="Q24" s="64">
        <v>7024589</v>
      </c>
      <c r="R24" s="64">
        <v>7986542</v>
      </c>
      <c r="S24" s="64">
        <v>17025894</v>
      </c>
      <c r="T24" s="62">
        <f t="shared" si="2"/>
        <v>112842661</v>
      </c>
    </row>
    <row r="25" spans="1:20" ht="94.5" x14ac:dyDescent="0.25">
      <c r="A25" s="58">
        <v>30501180418</v>
      </c>
      <c r="B25" s="57" t="s">
        <v>42</v>
      </c>
      <c r="C25" s="62">
        <v>120229971</v>
      </c>
      <c r="D25" s="62"/>
      <c r="E25" s="62">
        <v>20000000</v>
      </c>
      <c r="F25" s="62"/>
      <c r="G25" s="62">
        <f t="shared" si="1"/>
        <v>100229971</v>
      </c>
      <c r="H25" s="64">
        <v>5903900</v>
      </c>
      <c r="I25" s="64">
        <v>5849200</v>
      </c>
      <c r="J25" s="64">
        <v>5145782</v>
      </c>
      <c r="K25" s="64">
        <v>5238756</v>
      </c>
      <c r="L25" s="64">
        <v>5295641</v>
      </c>
      <c r="M25" s="64">
        <v>5746812</v>
      </c>
      <c r="N25" s="64">
        <v>6425518</v>
      </c>
      <c r="O25" s="64">
        <v>4123586</v>
      </c>
      <c r="P25" s="64">
        <v>3952687</v>
      </c>
      <c r="Q25" s="64">
        <v>3897452</v>
      </c>
      <c r="R25" s="64">
        <v>4035762</v>
      </c>
      <c r="S25" s="64">
        <v>9768542</v>
      </c>
      <c r="T25" s="62">
        <f t="shared" si="2"/>
        <v>65383638</v>
      </c>
    </row>
    <row r="26" spans="1:20" ht="47.25" x14ac:dyDescent="0.25">
      <c r="A26" s="58">
        <v>30501180419</v>
      </c>
      <c r="B26" s="57" t="s">
        <v>43</v>
      </c>
      <c r="C26" s="62">
        <v>80453314</v>
      </c>
      <c r="D26" s="62"/>
      <c r="E26" s="62">
        <v>20000000</v>
      </c>
      <c r="F26" s="62"/>
      <c r="G26" s="62">
        <f t="shared" si="1"/>
        <v>60453314</v>
      </c>
      <c r="H26" s="64">
        <v>1189000</v>
      </c>
      <c r="I26" s="64">
        <v>1161900</v>
      </c>
      <c r="J26" s="64">
        <v>1095844</v>
      </c>
      <c r="K26" s="64">
        <v>1100524</v>
      </c>
      <c r="L26" s="64">
        <v>1201623</v>
      </c>
      <c r="M26" s="64">
        <v>1295874</v>
      </c>
      <c r="N26" s="64">
        <v>1658746</v>
      </c>
      <c r="O26" s="64">
        <v>1056547</v>
      </c>
      <c r="P26" s="64">
        <v>985463</v>
      </c>
      <c r="Q26" s="64">
        <v>979542</v>
      </c>
      <c r="R26" s="64">
        <v>1356874</v>
      </c>
      <c r="S26" s="64">
        <v>3965841</v>
      </c>
      <c r="T26" s="62">
        <f t="shared" si="2"/>
        <v>17047778</v>
      </c>
    </row>
    <row r="27" spans="1:20" ht="94.5" x14ac:dyDescent="0.25">
      <c r="A27" s="58">
        <v>30501180420</v>
      </c>
      <c r="B27" s="57" t="s">
        <v>44</v>
      </c>
      <c r="C27" s="62">
        <v>80453314</v>
      </c>
      <c r="D27" s="62"/>
      <c r="E27" s="62"/>
      <c r="F27" s="62"/>
      <c r="G27" s="62">
        <f t="shared" si="1"/>
        <v>80453314</v>
      </c>
      <c r="H27" s="64">
        <v>1189000</v>
      </c>
      <c r="I27" s="64">
        <v>1161900</v>
      </c>
      <c r="J27" s="64">
        <v>1095844</v>
      </c>
      <c r="K27" s="64">
        <v>1100524</v>
      </c>
      <c r="L27" s="64">
        <v>1201623</v>
      </c>
      <c r="M27" s="64">
        <v>1295874</v>
      </c>
      <c r="N27" s="64">
        <v>1658746</v>
      </c>
      <c r="O27" s="64">
        <v>1056547</v>
      </c>
      <c r="P27" s="64">
        <v>985463</v>
      </c>
      <c r="Q27" s="64">
        <v>979542</v>
      </c>
      <c r="R27" s="64">
        <v>1356874</v>
      </c>
      <c r="S27" s="64">
        <v>3965841</v>
      </c>
      <c r="T27" s="62">
        <f t="shared" si="2"/>
        <v>17047778</v>
      </c>
    </row>
    <row r="28" spans="1:20" ht="94.5" x14ac:dyDescent="0.25">
      <c r="A28" s="58">
        <v>30501180421</v>
      </c>
      <c r="B28" s="57" t="s">
        <v>45</v>
      </c>
      <c r="C28" s="62">
        <v>50000000</v>
      </c>
      <c r="D28" s="62"/>
      <c r="E28" s="62"/>
      <c r="F28" s="62"/>
      <c r="G28" s="62">
        <f t="shared" si="1"/>
        <v>50000000</v>
      </c>
      <c r="H28" s="64">
        <v>2379400</v>
      </c>
      <c r="I28" s="64">
        <v>2326100</v>
      </c>
      <c r="J28" s="64">
        <v>2258741</v>
      </c>
      <c r="K28" s="64">
        <f>K27*2</f>
        <v>2201048</v>
      </c>
      <c r="L28" s="64">
        <f>L27*2</f>
        <v>2403246</v>
      </c>
      <c r="M28" s="64">
        <f>M27*2</f>
        <v>2591748</v>
      </c>
      <c r="N28" s="64">
        <f>N27*2</f>
        <v>3317492</v>
      </c>
      <c r="O28" s="64">
        <f>O27*2</f>
        <v>2113094</v>
      </c>
      <c r="P28" s="64">
        <v>1970926</v>
      </c>
      <c r="Q28" s="64">
        <f>Q27*2</f>
        <v>1959084</v>
      </c>
      <c r="R28" s="64">
        <f>R27*2</f>
        <v>2713748</v>
      </c>
      <c r="S28" s="64">
        <f>S27*2</f>
        <v>7931682</v>
      </c>
      <c r="T28" s="62">
        <f t="shared" si="2"/>
        <v>34166309</v>
      </c>
    </row>
    <row r="29" spans="1:20" ht="63" x14ac:dyDescent="0.25">
      <c r="A29" s="58">
        <v>30501180422</v>
      </c>
      <c r="B29" s="57" t="s">
        <v>46</v>
      </c>
      <c r="C29" s="62">
        <v>824646468</v>
      </c>
      <c r="D29" s="62"/>
      <c r="E29" s="62">
        <f>97300000+18000000+28000000</f>
        <v>143300000</v>
      </c>
      <c r="F29" s="62"/>
      <c r="G29" s="62">
        <f t="shared" si="1"/>
        <v>681346468</v>
      </c>
      <c r="H29" s="64">
        <f>23573058+19541758</f>
        <v>43114816</v>
      </c>
      <c r="I29" s="64">
        <f>23919826+18842126</f>
        <v>42761952</v>
      </c>
      <c r="J29" s="64">
        <v>42568729</v>
      </c>
      <c r="K29" s="64">
        <v>44895258</v>
      </c>
      <c r="L29" s="64">
        <v>45897452</v>
      </c>
      <c r="M29" s="64">
        <v>36458742</v>
      </c>
      <c r="N29" s="64">
        <v>53317492</v>
      </c>
      <c r="O29" s="64">
        <v>42578944</v>
      </c>
      <c r="P29" s="64">
        <v>42035846</v>
      </c>
      <c r="Q29" s="64">
        <v>41987546</v>
      </c>
      <c r="R29" s="64">
        <v>44785983</v>
      </c>
      <c r="S29" s="64">
        <v>114687924</v>
      </c>
      <c r="T29" s="62">
        <f t="shared" si="2"/>
        <v>595090684</v>
      </c>
    </row>
    <row r="30" spans="1:20" ht="47.25" x14ac:dyDescent="0.25">
      <c r="A30" s="58">
        <v>30502</v>
      </c>
      <c r="B30" s="57" t="s">
        <v>47</v>
      </c>
      <c r="C30" s="56"/>
      <c r="D30" s="56"/>
      <c r="E30" s="56"/>
      <c r="F30" s="56"/>
      <c r="G30" s="56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56"/>
    </row>
    <row r="31" spans="1:20" ht="47.25" x14ac:dyDescent="0.25">
      <c r="A31" s="56"/>
      <c r="B31" s="57" t="s">
        <v>48</v>
      </c>
      <c r="C31" s="59">
        <f t="shared" ref="C31:G31" si="8">SUM(C32:C37)</f>
        <v>581000000</v>
      </c>
      <c r="D31" s="59">
        <f t="shared" si="8"/>
        <v>0</v>
      </c>
      <c r="E31" s="59">
        <f t="shared" si="8"/>
        <v>0</v>
      </c>
      <c r="F31" s="59">
        <f t="shared" si="8"/>
        <v>0</v>
      </c>
      <c r="G31" s="59">
        <f t="shared" si="8"/>
        <v>581000000</v>
      </c>
      <c r="H31" s="59">
        <f t="shared" ref="H31" si="9">SUM(H32:H37)</f>
        <v>0</v>
      </c>
      <c r="I31" s="59">
        <f>SUM(I32:I37)</f>
        <v>1014361</v>
      </c>
      <c r="J31" s="59">
        <f t="shared" ref="J31:T31" si="10">SUM(J32:J37)</f>
        <v>0</v>
      </c>
      <c r="K31" s="59">
        <f t="shared" si="10"/>
        <v>0</v>
      </c>
      <c r="L31" s="59">
        <f t="shared" si="10"/>
        <v>63138478</v>
      </c>
      <c r="M31" s="59">
        <f t="shared" si="10"/>
        <v>122610000</v>
      </c>
      <c r="N31" s="59">
        <f t="shared" si="10"/>
        <v>11787760</v>
      </c>
      <c r="O31" s="59">
        <f t="shared" si="10"/>
        <v>0</v>
      </c>
      <c r="P31" s="59">
        <f t="shared" si="10"/>
        <v>0</v>
      </c>
      <c r="Q31" s="59">
        <f t="shared" si="10"/>
        <v>5387123</v>
      </c>
      <c r="R31" s="59">
        <f t="shared" si="10"/>
        <v>0</v>
      </c>
      <c r="S31" s="59">
        <f t="shared" si="10"/>
        <v>194270911</v>
      </c>
      <c r="T31" s="59">
        <f t="shared" si="10"/>
        <v>398208633</v>
      </c>
    </row>
    <row r="32" spans="1:20" ht="47.25" x14ac:dyDescent="0.25">
      <c r="A32" s="58">
        <v>30502180401</v>
      </c>
      <c r="B32" s="57" t="s">
        <v>49</v>
      </c>
      <c r="C32" s="62">
        <v>150000000</v>
      </c>
      <c r="D32" s="62"/>
      <c r="E32" s="62"/>
      <c r="F32" s="62"/>
      <c r="G32" s="62">
        <f t="shared" ref="G32:G48" si="11">C32+D32-E32+F32</f>
        <v>150000000</v>
      </c>
      <c r="H32" s="61"/>
      <c r="I32" s="61"/>
      <c r="J32" s="61"/>
      <c r="K32" s="61"/>
      <c r="L32" s="61"/>
      <c r="M32" s="61"/>
      <c r="N32" s="61">
        <v>9282810</v>
      </c>
      <c r="O32" s="61"/>
      <c r="P32" s="61"/>
      <c r="Q32" s="61"/>
      <c r="R32" s="61"/>
      <c r="S32" s="61"/>
      <c r="T32" s="62">
        <f t="shared" ref="T32:T48" si="12">H32+I32+J32+K32+L32+M32+N32+O32+P32+Q32+R32+S32</f>
        <v>9282810</v>
      </c>
    </row>
    <row r="33" spans="1:20" ht="126" x14ac:dyDescent="0.25">
      <c r="A33" s="58">
        <v>30502180402</v>
      </c>
      <c r="B33" s="57" t="s">
        <v>276</v>
      </c>
      <c r="C33" s="62">
        <v>260000000</v>
      </c>
      <c r="D33" s="62"/>
      <c r="E33" s="62"/>
      <c r="F33" s="62"/>
      <c r="G33" s="62">
        <f t="shared" si="11"/>
        <v>260000000</v>
      </c>
      <c r="H33" s="61"/>
      <c r="I33" s="61">
        <v>1014361</v>
      </c>
      <c r="J33" s="61"/>
      <c r="K33" s="61">
        <v>0</v>
      </c>
      <c r="L33" s="61">
        <v>63138478</v>
      </c>
      <c r="M33" s="61"/>
      <c r="N33" s="61"/>
      <c r="O33" s="61"/>
      <c r="P33" s="61"/>
      <c r="Q33" s="61"/>
      <c r="R33" s="61"/>
      <c r="S33" s="61">
        <v>194270911</v>
      </c>
      <c r="T33" s="62">
        <f>H33+I33+J33+K33+L33+M33+N33+O33+P33+Q33+R33+S33</f>
        <v>258423750</v>
      </c>
    </row>
    <row r="34" spans="1:20" ht="126" x14ac:dyDescent="0.25">
      <c r="A34" s="58">
        <v>30502180403</v>
      </c>
      <c r="B34" s="57" t="s">
        <v>51</v>
      </c>
      <c r="C34" s="62">
        <v>140000000</v>
      </c>
      <c r="D34" s="62"/>
      <c r="E34" s="62"/>
      <c r="F34" s="62"/>
      <c r="G34" s="62">
        <f t="shared" si="11"/>
        <v>140000000</v>
      </c>
      <c r="H34" s="61"/>
      <c r="I34" s="61"/>
      <c r="J34" s="61"/>
      <c r="K34" s="61"/>
      <c r="L34" s="61"/>
      <c r="M34" s="61">
        <v>122610000</v>
      </c>
      <c r="N34" s="61">
        <v>2504950</v>
      </c>
      <c r="O34" s="61"/>
      <c r="P34" s="61"/>
      <c r="Q34" s="61"/>
      <c r="R34" s="61"/>
      <c r="S34" s="61"/>
      <c r="T34" s="62">
        <f t="shared" si="12"/>
        <v>125114950</v>
      </c>
    </row>
    <row r="35" spans="1:20" ht="63" x14ac:dyDescent="0.25">
      <c r="A35" s="58">
        <v>30502180404</v>
      </c>
      <c r="B35" s="57" t="s">
        <v>52</v>
      </c>
      <c r="C35" s="62">
        <v>10000000</v>
      </c>
      <c r="D35" s="62"/>
      <c r="E35" s="62"/>
      <c r="F35" s="62"/>
      <c r="G35" s="62">
        <f t="shared" si="11"/>
        <v>10000000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2">
        <f t="shared" si="12"/>
        <v>0</v>
      </c>
    </row>
    <row r="36" spans="1:20" ht="47.25" x14ac:dyDescent="0.25">
      <c r="A36" s="58">
        <v>30502180405</v>
      </c>
      <c r="B36" s="57" t="s">
        <v>54</v>
      </c>
      <c r="C36" s="62">
        <v>1000000</v>
      </c>
      <c r="D36" s="62"/>
      <c r="E36" s="62"/>
      <c r="F36" s="62"/>
      <c r="G36" s="62">
        <f t="shared" si="11"/>
        <v>1000000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2">
        <f t="shared" si="12"/>
        <v>0</v>
      </c>
    </row>
    <row r="37" spans="1:20" ht="31.5" x14ac:dyDescent="0.25">
      <c r="A37" s="58">
        <v>30502180406</v>
      </c>
      <c r="B37" s="57" t="s">
        <v>55</v>
      </c>
      <c r="C37" s="62">
        <v>20000000</v>
      </c>
      <c r="D37" s="62"/>
      <c r="E37" s="62"/>
      <c r="F37" s="62"/>
      <c r="G37" s="62">
        <f t="shared" si="11"/>
        <v>20000000</v>
      </c>
      <c r="H37" s="61"/>
      <c r="I37" s="61"/>
      <c r="J37" s="61"/>
      <c r="K37" s="61"/>
      <c r="L37" s="61"/>
      <c r="M37" s="61"/>
      <c r="N37" s="61"/>
      <c r="O37" s="61"/>
      <c r="P37" s="61"/>
      <c r="Q37" s="61">
        <v>5387123</v>
      </c>
      <c r="R37" s="61"/>
      <c r="S37" s="61"/>
      <c r="T37" s="62">
        <f t="shared" si="12"/>
        <v>5387123</v>
      </c>
    </row>
    <row r="38" spans="1:20" ht="47.25" x14ac:dyDescent="0.25">
      <c r="A38" s="56"/>
      <c r="B38" s="57" t="s">
        <v>56</v>
      </c>
      <c r="C38" s="59">
        <f t="shared" ref="C38:T38" si="13">SUM(C39:C48)</f>
        <v>679042533</v>
      </c>
      <c r="D38" s="59">
        <f t="shared" si="13"/>
        <v>7600000</v>
      </c>
      <c r="E38" s="59">
        <f t="shared" si="13"/>
        <v>20000000</v>
      </c>
      <c r="F38" s="59">
        <f t="shared" si="13"/>
        <v>0</v>
      </c>
      <c r="G38" s="59">
        <f t="shared" si="13"/>
        <v>666642533</v>
      </c>
      <c r="H38" s="59">
        <f t="shared" si="13"/>
        <v>16256046</v>
      </c>
      <c r="I38" s="59">
        <f t="shared" si="13"/>
        <v>130445450</v>
      </c>
      <c r="J38" s="59">
        <f t="shared" si="13"/>
        <v>17734299</v>
      </c>
      <c r="K38" s="59">
        <f t="shared" si="13"/>
        <v>22511419</v>
      </c>
      <c r="L38" s="59">
        <f t="shared" si="13"/>
        <v>13216804</v>
      </c>
      <c r="M38" s="59">
        <f t="shared" si="13"/>
        <v>15628340</v>
      </c>
      <c r="N38" s="59">
        <f t="shared" si="13"/>
        <v>20941317</v>
      </c>
      <c r="O38" s="59">
        <f t="shared" si="13"/>
        <v>18800721</v>
      </c>
      <c r="P38" s="59">
        <f t="shared" si="13"/>
        <v>12415801</v>
      </c>
      <c r="Q38" s="59">
        <f t="shared" si="13"/>
        <v>22208246</v>
      </c>
      <c r="R38" s="59">
        <f t="shared" si="13"/>
        <v>56611906</v>
      </c>
      <c r="S38" s="59">
        <f t="shared" si="13"/>
        <v>20079429</v>
      </c>
      <c r="T38" s="59">
        <f t="shared" si="13"/>
        <v>366849778</v>
      </c>
    </row>
    <row r="39" spans="1:20" ht="63" x14ac:dyDescent="0.25">
      <c r="A39" s="58">
        <v>30502180407</v>
      </c>
      <c r="B39" s="57" t="s">
        <v>57</v>
      </c>
      <c r="C39" s="65">
        <v>69000000</v>
      </c>
      <c r="D39" s="65"/>
      <c r="E39" s="65"/>
      <c r="F39" s="62"/>
      <c r="G39" s="62">
        <f t="shared" si="11"/>
        <v>69000000</v>
      </c>
      <c r="H39" s="61">
        <v>602136</v>
      </c>
      <c r="I39" s="61">
        <v>618189</v>
      </c>
      <c r="J39" s="61">
        <v>617690</v>
      </c>
      <c r="K39" s="61">
        <v>617511</v>
      </c>
      <c r="L39" s="61">
        <v>617654</v>
      </c>
      <c r="M39" s="61">
        <v>497691</v>
      </c>
      <c r="N39" s="61">
        <v>617297</v>
      </c>
      <c r="O39" s="61">
        <v>617475</v>
      </c>
      <c r="P39" s="61">
        <v>617190</v>
      </c>
      <c r="Q39" s="61">
        <v>617440</v>
      </c>
      <c r="R39" s="61">
        <v>617690</v>
      </c>
      <c r="S39" s="61">
        <v>642525</v>
      </c>
      <c r="T39" s="62">
        <f t="shared" si="12"/>
        <v>7300488</v>
      </c>
    </row>
    <row r="40" spans="1:20" ht="31.5" x14ac:dyDescent="0.25">
      <c r="A40" s="58">
        <v>30502180408</v>
      </c>
      <c r="B40" s="57" t="s">
        <v>277</v>
      </c>
      <c r="C40" s="65">
        <v>150000000</v>
      </c>
      <c r="D40" s="65"/>
      <c r="E40" s="65"/>
      <c r="F40" s="62"/>
      <c r="G40" s="62">
        <f t="shared" si="11"/>
        <v>150000000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>
        <f>20650070</f>
        <v>20650070</v>
      </c>
      <c r="S40" s="61"/>
      <c r="T40" s="62">
        <f t="shared" si="12"/>
        <v>20650070</v>
      </c>
    </row>
    <row r="41" spans="1:20" ht="15.75" x14ac:dyDescent="0.25">
      <c r="A41" s="58">
        <v>30502180409</v>
      </c>
      <c r="B41" s="57" t="s">
        <v>59</v>
      </c>
      <c r="C41" s="65">
        <v>46000000</v>
      </c>
      <c r="D41" s="65">
        <v>4500000</v>
      </c>
      <c r="E41" s="65"/>
      <c r="F41" s="62"/>
      <c r="G41" s="62">
        <f t="shared" si="11"/>
        <v>50500000</v>
      </c>
      <c r="H41" s="61"/>
      <c r="I41" s="61">
        <v>20056482</v>
      </c>
      <c r="J41" s="61"/>
      <c r="K41" s="61"/>
      <c r="L41" s="61"/>
      <c r="M41" s="61"/>
      <c r="N41" s="61"/>
      <c r="O41" s="61">
        <v>7343771</v>
      </c>
      <c r="P41" s="61"/>
      <c r="Q41" s="61"/>
      <c r="R41" s="61">
        <v>22991147</v>
      </c>
      <c r="S41" s="61"/>
      <c r="T41" s="62">
        <f t="shared" si="12"/>
        <v>50391400</v>
      </c>
    </row>
    <row r="42" spans="1:20" ht="31.5" x14ac:dyDescent="0.25">
      <c r="A42" s="58">
        <v>30502180410</v>
      </c>
      <c r="B42" s="57" t="s">
        <v>60</v>
      </c>
      <c r="C42" s="65">
        <v>170268033</v>
      </c>
      <c r="D42" s="65"/>
      <c r="E42" s="65">
        <v>20000000</v>
      </c>
      <c r="F42" s="62"/>
      <c r="G42" s="62">
        <f t="shared" si="11"/>
        <v>150268033</v>
      </c>
      <c r="H42" s="61">
        <v>15653910</v>
      </c>
      <c r="I42" s="61">
        <v>10996279</v>
      </c>
      <c r="J42" s="61">
        <v>14442889</v>
      </c>
      <c r="K42" s="61">
        <v>11355963</v>
      </c>
      <c r="L42" s="61">
        <v>10856336</v>
      </c>
      <c r="M42" s="61">
        <v>11913436</v>
      </c>
      <c r="N42" s="61">
        <v>11112416</v>
      </c>
      <c r="O42" s="61">
        <v>10303025</v>
      </c>
      <c r="P42" s="61">
        <v>11798611</v>
      </c>
      <c r="Q42" s="61">
        <v>11947994</v>
      </c>
      <c r="R42" s="61">
        <v>11318602</v>
      </c>
      <c r="S42" s="61">
        <v>11250057</v>
      </c>
      <c r="T42" s="62">
        <f t="shared" si="12"/>
        <v>142949518</v>
      </c>
    </row>
    <row r="43" spans="1:20" ht="47.25" x14ac:dyDescent="0.25">
      <c r="A43" s="58">
        <v>30502180411</v>
      </c>
      <c r="B43" s="57" t="s">
        <v>61</v>
      </c>
      <c r="C43" s="65">
        <v>30000000</v>
      </c>
      <c r="D43" s="65"/>
      <c r="E43" s="65"/>
      <c r="F43" s="62"/>
      <c r="G43" s="62">
        <f t="shared" si="11"/>
        <v>30000000</v>
      </c>
      <c r="H43" s="61"/>
      <c r="I43" s="61"/>
      <c r="J43" s="61">
        <v>2673720</v>
      </c>
      <c r="K43" s="61">
        <v>537945</v>
      </c>
      <c r="L43" s="61">
        <v>1742814</v>
      </c>
      <c r="M43" s="61">
        <v>3217213</v>
      </c>
      <c r="N43" s="61">
        <v>3811604</v>
      </c>
      <c r="O43" s="61">
        <v>536450</v>
      </c>
      <c r="P43" s="61"/>
      <c r="Q43" s="61">
        <v>3877912</v>
      </c>
      <c r="R43" s="61">
        <v>1034397</v>
      </c>
      <c r="S43" s="61">
        <v>703930</v>
      </c>
      <c r="T43" s="62">
        <f t="shared" si="12"/>
        <v>18135985</v>
      </c>
    </row>
    <row r="44" spans="1:20" ht="94.5" x14ac:dyDescent="0.25">
      <c r="A44" s="58">
        <v>30502180412</v>
      </c>
      <c r="B44" s="57" t="s">
        <v>62</v>
      </c>
      <c r="C44" s="65">
        <v>104774500</v>
      </c>
      <c r="D44" s="65">
        <v>3000000</v>
      </c>
      <c r="E44" s="65"/>
      <c r="F44" s="62"/>
      <c r="G44" s="62">
        <f t="shared" si="11"/>
        <v>107774500</v>
      </c>
      <c r="H44" s="61"/>
      <c r="I44" s="61">
        <v>98774500</v>
      </c>
      <c r="J44" s="61"/>
      <c r="K44" s="61"/>
      <c r="L44" s="61"/>
      <c r="M44" s="61"/>
      <c r="N44" s="61"/>
      <c r="O44" s="61"/>
      <c r="P44" s="61"/>
      <c r="Q44" s="61"/>
      <c r="R44" s="61"/>
      <c r="S44" s="61">
        <v>7482917</v>
      </c>
      <c r="T44" s="62">
        <f t="shared" si="12"/>
        <v>106257417</v>
      </c>
    </row>
    <row r="45" spans="1:20" ht="78.75" x14ac:dyDescent="0.25">
      <c r="A45" s="58">
        <v>30502180413</v>
      </c>
      <c r="B45" s="57" t="s">
        <v>63</v>
      </c>
      <c r="C45" s="65">
        <v>18000000</v>
      </c>
      <c r="D45" s="65"/>
      <c r="E45" s="65"/>
      <c r="F45" s="62"/>
      <c r="G45" s="62">
        <f t="shared" si="11"/>
        <v>18000000</v>
      </c>
      <c r="H45" s="61"/>
      <c r="I45" s="61"/>
      <c r="J45" s="61"/>
      <c r="K45" s="61">
        <v>10000000</v>
      </c>
      <c r="L45" s="61">
        <v>0</v>
      </c>
      <c r="M45" s="61"/>
      <c r="N45" s="61"/>
      <c r="O45" s="61"/>
      <c r="P45" s="61"/>
      <c r="Q45" s="61"/>
      <c r="R45" s="61"/>
      <c r="S45" s="61"/>
      <c r="T45" s="62">
        <f t="shared" si="12"/>
        <v>10000000</v>
      </c>
    </row>
    <row r="46" spans="1:20" ht="47.25" x14ac:dyDescent="0.25">
      <c r="A46" s="58">
        <v>30502180414</v>
      </c>
      <c r="B46" s="57" t="s">
        <v>64</v>
      </c>
      <c r="C46" s="65">
        <v>40000000</v>
      </c>
      <c r="D46" s="65"/>
      <c r="E46" s="65"/>
      <c r="F46" s="62"/>
      <c r="G46" s="62">
        <f t="shared" si="11"/>
        <v>40000000</v>
      </c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2">
        <f t="shared" si="12"/>
        <v>0</v>
      </c>
    </row>
    <row r="47" spans="1:20" ht="63" x14ac:dyDescent="0.25">
      <c r="A47" s="58">
        <v>30502180415</v>
      </c>
      <c r="B47" s="57" t="s">
        <v>278</v>
      </c>
      <c r="C47" s="65">
        <v>50000000</v>
      </c>
      <c r="D47" s="65"/>
      <c r="E47" s="65"/>
      <c r="F47" s="62"/>
      <c r="G47" s="62">
        <f t="shared" si="11"/>
        <v>50000000</v>
      </c>
      <c r="H47" s="61"/>
      <c r="I47" s="61"/>
      <c r="J47" s="61"/>
      <c r="K47" s="61"/>
      <c r="L47" s="61"/>
      <c r="M47" s="61"/>
      <c r="N47" s="61">
        <v>5400000</v>
      </c>
      <c r="O47" s="61"/>
      <c r="P47" s="61"/>
      <c r="Q47" s="61">
        <v>4740000</v>
      </c>
      <c r="R47" s="61"/>
      <c r="S47" s="61"/>
      <c r="T47" s="62">
        <f t="shared" si="12"/>
        <v>10140000</v>
      </c>
    </row>
    <row r="48" spans="1:20" ht="63" x14ac:dyDescent="0.25">
      <c r="A48" s="58">
        <v>30502180416</v>
      </c>
      <c r="B48" s="57" t="s">
        <v>65</v>
      </c>
      <c r="C48" s="65">
        <v>1000000</v>
      </c>
      <c r="D48" s="65">
        <v>100000</v>
      </c>
      <c r="E48" s="65"/>
      <c r="F48" s="62"/>
      <c r="G48" s="62">
        <f t="shared" si="11"/>
        <v>1100000</v>
      </c>
      <c r="H48" s="61"/>
      <c r="I48" s="61"/>
      <c r="J48" s="61"/>
      <c r="K48" s="61"/>
      <c r="L48" s="61"/>
      <c r="M48" s="61"/>
      <c r="N48" s="61"/>
      <c r="O48" s="61"/>
      <c r="P48" s="61"/>
      <c r="Q48" s="61">
        <v>1024900</v>
      </c>
      <c r="R48" s="61"/>
      <c r="S48" s="61"/>
      <c r="T48" s="62">
        <f t="shared" si="12"/>
        <v>1024900</v>
      </c>
    </row>
    <row r="49" spans="1:20" ht="63" x14ac:dyDescent="0.25">
      <c r="A49" s="56"/>
      <c r="B49" s="57" t="s">
        <v>66</v>
      </c>
      <c r="C49" s="65"/>
      <c r="D49" s="65"/>
      <c r="E49" s="65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</row>
    <row r="50" spans="1:20" ht="94.5" x14ac:dyDescent="0.25">
      <c r="A50" s="56"/>
      <c r="B50" s="57" t="s">
        <v>67</v>
      </c>
      <c r="C50" s="59">
        <f t="shared" ref="C50:G50" si="14">SUM(C51:C54)</f>
        <v>723000000</v>
      </c>
      <c r="D50" s="59">
        <f t="shared" si="14"/>
        <v>0</v>
      </c>
      <c r="E50" s="59">
        <f t="shared" si="14"/>
        <v>0</v>
      </c>
      <c r="F50" s="59">
        <f t="shared" si="14"/>
        <v>0</v>
      </c>
      <c r="G50" s="59">
        <f t="shared" si="14"/>
        <v>723000000</v>
      </c>
      <c r="H50" s="59">
        <f>SUM(H51:H54)</f>
        <v>31153460</v>
      </c>
      <c r="I50" s="59">
        <f t="shared" ref="I50:T50" si="15">SUM(I51:I54)</f>
        <v>143513572</v>
      </c>
      <c r="J50" s="59">
        <f t="shared" si="15"/>
        <v>78809745</v>
      </c>
      <c r="K50" s="59">
        <f t="shared" si="15"/>
        <v>17702972</v>
      </c>
      <c r="L50" s="59">
        <f t="shared" si="15"/>
        <v>72986407</v>
      </c>
      <c r="M50" s="59">
        <f t="shared" si="15"/>
        <v>35134282</v>
      </c>
      <c r="N50" s="59">
        <f t="shared" si="15"/>
        <v>22058266</v>
      </c>
      <c r="O50" s="59">
        <f t="shared" si="15"/>
        <v>5504998</v>
      </c>
      <c r="P50" s="59">
        <f t="shared" si="15"/>
        <v>5504998</v>
      </c>
      <c r="Q50" s="59">
        <f t="shared" si="15"/>
        <v>25504998</v>
      </c>
      <c r="R50" s="59">
        <f t="shared" si="15"/>
        <v>5504998</v>
      </c>
      <c r="S50" s="59">
        <f t="shared" si="15"/>
        <v>28055957</v>
      </c>
      <c r="T50" s="59">
        <f t="shared" si="15"/>
        <v>471434653</v>
      </c>
    </row>
    <row r="51" spans="1:20" ht="47.25" x14ac:dyDescent="0.25">
      <c r="A51" s="58">
        <v>30503180401</v>
      </c>
      <c r="B51" s="57" t="s">
        <v>68</v>
      </c>
      <c r="C51" s="65">
        <v>100000000</v>
      </c>
      <c r="D51" s="65"/>
      <c r="E51" s="65"/>
      <c r="F51" s="62"/>
      <c r="G51" s="62">
        <f t="shared" ref="G51:G58" si="16">C51+D51-E51+F51</f>
        <v>100000000</v>
      </c>
      <c r="H51" s="61">
        <v>5504998</v>
      </c>
      <c r="I51" s="61">
        <v>5504998</v>
      </c>
      <c r="J51" s="61">
        <v>9029595</v>
      </c>
      <c r="K51" s="61">
        <v>6242715</v>
      </c>
      <c r="L51" s="61">
        <v>5504998</v>
      </c>
      <c r="M51" s="61">
        <v>11009996</v>
      </c>
      <c r="N51" s="61">
        <v>5504998</v>
      </c>
      <c r="O51" s="61">
        <v>5504998</v>
      </c>
      <c r="P51" s="61">
        <v>5504998</v>
      </c>
      <c r="Q51" s="61">
        <v>5504998</v>
      </c>
      <c r="R51" s="61">
        <v>5504998</v>
      </c>
      <c r="S51" s="61">
        <v>11009996</v>
      </c>
      <c r="T51" s="62">
        <f t="shared" ref="T51:T58" si="17">H51+I51+J51+K51+L51+M51+N51+O51+P51+Q51+R51+S51</f>
        <v>81332286</v>
      </c>
    </row>
    <row r="52" spans="1:20" ht="47.25" x14ac:dyDescent="0.25">
      <c r="A52" s="58">
        <v>30503180402</v>
      </c>
      <c r="B52" s="57" t="s">
        <v>69</v>
      </c>
      <c r="C52" s="65">
        <v>1000000</v>
      </c>
      <c r="D52" s="65"/>
      <c r="E52" s="65"/>
      <c r="F52" s="62"/>
      <c r="G52" s="62">
        <f t="shared" si="16"/>
        <v>1000000</v>
      </c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2">
        <f t="shared" si="17"/>
        <v>0</v>
      </c>
    </row>
    <row r="53" spans="1:20" ht="15.75" x14ac:dyDescent="0.25">
      <c r="A53" s="58">
        <v>30503180403</v>
      </c>
      <c r="B53" s="57" t="s">
        <v>70</v>
      </c>
      <c r="C53" s="65">
        <v>600000000</v>
      </c>
      <c r="D53" s="65"/>
      <c r="E53" s="65"/>
      <c r="F53" s="62"/>
      <c r="G53" s="62">
        <f t="shared" si="16"/>
        <v>600000000</v>
      </c>
      <c r="H53" s="61">
        <v>5000000</v>
      </c>
      <c r="I53" s="61">
        <v>138008574</v>
      </c>
      <c r="J53" s="61">
        <v>69780150</v>
      </c>
      <c r="K53" s="61">
        <v>11460257</v>
      </c>
      <c r="L53" s="61">
        <v>67481409</v>
      </c>
      <c r="M53" s="61">
        <v>24124286</v>
      </c>
      <c r="N53" s="61">
        <v>16449530</v>
      </c>
      <c r="O53" s="61"/>
      <c r="P53" s="61"/>
      <c r="Q53" s="61">
        <v>20000000</v>
      </c>
      <c r="R53" s="61"/>
      <c r="S53" s="61">
        <v>17045961</v>
      </c>
      <c r="T53" s="62">
        <f t="shared" si="17"/>
        <v>369350167</v>
      </c>
    </row>
    <row r="54" spans="1:20" ht="47.25" x14ac:dyDescent="0.25">
      <c r="A54" s="58">
        <v>30503180404</v>
      </c>
      <c r="B54" s="57" t="s">
        <v>71</v>
      </c>
      <c r="C54" s="65">
        <v>22000000</v>
      </c>
      <c r="D54" s="65"/>
      <c r="E54" s="65"/>
      <c r="F54" s="62"/>
      <c r="G54" s="62">
        <f t="shared" si="16"/>
        <v>22000000</v>
      </c>
      <c r="H54" s="61">
        <v>20648462</v>
      </c>
      <c r="I54" s="61"/>
      <c r="J54" s="61"/>
      <c r="K54" s="61"/>
      <c r="L54" s="61"/>
      <c r="M54" s="61"/>
      <c r="N54" s="61">
        <v>103738</v>
      </c>
      <c r="O54" s="61"/>
      <c r="P54" s="61"/>
      <c r="Q54" s="61"/>
      <c r="R54" s="61"/>
      <c r="S54" s="61"/>
      <c r="T54" s="62">
        <f t="shared" si="17"/>
        <v>20752200</v>
      </c>
    </row>
    <row r="55" spans="1:20" ht="78.75" x14ac:dyDescent="0.25">
      <c r="A55" s="56"/>
      <c r="B55" s="57" t="s">
        <v>72</v>
      </c>
      <c r="C55" s="65">
        <f>SUM(C56:C58)</f>
        <v>275000000</v>
      </c>
      <c r="D55" s="65"/>
      <c r="E55" s="65"/>
      <c r="F55" s="65">
        <f t="shared" ref="F55:T55" si="18">SUM(F56:F58)</f>
        <v>0</v>
      </c>
      <c r="G55" s="62">
        <f t="shared" si="16"/>
        <v>275000000</v>
      </c>
      <c r="H55" s="66">
        <f t="shared" si="18"/>
        <v>1527860</v>
      </c>
      <c r="I55" s="66">
        <f t="shared" si="18"/>
        <v>1235232</v>
      </c>
      <c r="J55" s="66">
        <f t="shared" si="18"/>
        <v>4730796</v>
      </c>
      <c r="K55" s="66">
        <f t="shared" si="18"/>
        <v>34036587</v>
      </c>
      <c r="L55" s="66">
        <f t="shared" si="18"/>
        <v>9121334</v>
      </c>
      <c r="M55" s="66">
        <f t="shared" si="18"/>
        <v>17815247</v>
      </c>
      <c r="N55" s="66">
        <f t="shared" si="18"/>
        <v>634571</v>
      </c>
      <c r="O55" s="66">
        <f t="shared" si="18"/>
        <v>45628965</v>
      </c>
      <c r="P55" s="66">
        <f t="shared" si="18"/>
        <v>8384557</v>
      </c>
      <c r="Q55" s="66">
        <f t="shared" si="18"/>
        <v>3482292</v>
      </c>
      <c r="R55" s="66">
        <f t="shared" si="18"/>
        <v>14300000</v>
      </c>
      <c r="S55" s="66">
        <f t="shared" si="18"/>
        <v>9608698</v>
      </c>
      <c r="T55" s="66">
        <f t="shared" si="18"/>
        <v>150506139</v>
      </c>
    </row>
    <row r="56" spans="1:20" ht="110.25" x14ac:dyDescent="0.25">
      <c r="A56" s="58">
        <v>30503180405</v>
      </c>
      <c r="B56" s="57" t="s">
        <v>73</v>
      </c>
      <c r="C56" s="65">
        <v>30000000</v>
      </c>
      <c r="D56" s="65"/>
      <c r="E56" s="65"/>
      <c r="F56" s="62"/>
      <c r="G56" s="62">
        <f t="shared" si="16"/>
        <v>30000000</v>
      </c>
      <c r="H56" s="61"/>
      <c r="I56" s="61"/>
      <c r="J56" s="61"/>
      <c r="K56" s="61"/>
      <c r="L56" s="61"/>
      <c r="M56" s="61"/>
      <c r="N56" s="61"/>
      <c r="O56" s="61">
        <v>14800000</v>
      </c>
      <c r="P56" s="61"/>
      <c r="Q56" s="61"/>
      <c r="R56" s="61"/>
      <c r="S56" s="61"/>
      <c r="T56" s="62">
        <f t="shared" si="17"/>
        <v>14800000</v>
      </c>
    </row>
    <row r="57" spans="1:20" ht="126" x14ac:dyDescent="0.25">
      <c r="A57" s="58">
        <v>30503180406</v>
      </c>
      <c r="B57" s="57" t="s">
        <v>74</v>
      </c>
      <c r="C57" s="65">
        <v>85000000</v>
      </c>
      <c r="D57" s="65"/>
      <c r="E57" s="65"/>
      <c r="F57" s="62"/>
      <c r="G57" s="62">
        <f t="shared" si="16"/>
        <v>85000000</v>
      </c>
      <c r="H57" s="61"/>
      <c r="I57" s="61"/>
      <c r="J57" s="61"/>
      <c r="K57" s="61">
        <v>0</v>
      </c>
      <c r="L57" s="61">
        <v>4380000</v>
      </c>
      <c r="M57" s="61"/>
      <c r="N57" s="61"/>
      <c r="O57" s="61">
        <v>9568327</v>
      </c>
      <c r="P57" s="61"/>
      <c r="Q57" s="61"/>
      <c r="R57" s="61"/>
      <c r="S57" s="61">
        <v>737717</v>
      </c>
      <c r="T57" s="62">
        <f t="shared" si="17"/>
        <v>14686044</v>
      </c>
    </row>
    <row r="58" spans="1:20" ht="47.25" x14ac:dyDescent="0.25">
      <c r="A58" s="58">
        <v>30503180407</v>
      </c>
      <c r="B58" s="57" t="s">
        <v>75</v>
      </c>
      <c r="C58" s="65">
        <v>160000000</v>
      </c>
      <c r="D58" s="65"/>
      <c r="E58" s="65"/>
      <c r="F58" s="62"/>
      <c r="G58" s="62">
        <f t="shared" si="16"/>
        <v>160000000</v>
      </c>
      <c r="H58" s="61">
        <v>1527860</v>
      </c>
      <c r="I58" s="61">
        <v>1235232</v>
      </c>
      <c r="J58" s="61">
        <v>4730796</v>
      </c>
      <c r="K58" s="61">
        <v>34036587</v>
      </c>
      <c r="L58" s="61">
        <v>4741334</v>
      </c>
      <c r="M58" s="61">
        <v>17815247</v>
      </c>
      <c r="N58" s="61">
        <v>634571</v>
      </c>
      <c r="O58" s="61">
        <v>21260638</v>
      </c>
      <c r="P58" s="61">
        <v>8384557</v>
      </c>
      <c r="Q58" s="61">
        <v>3482292</v>
      </c>
      <c r="R58" s="61">
        <v>14300000</v>
      </c>
      <c r="S58" s="61">
        <v>8870981</v>
      </c>
      <c r="T58" s="62">
        <f t="shared" si="17"/>
        <v>121020095</v>
      </c>
    </row>
    <row r="59" spans="1:20" ht="78.75" x14ac:dyDescent="0.25">
      <c r="A59" s="56"/>
      <c r="B59" s="67" t="s">
        <v>76</v>
      </c>
      <c r="C59" s="59">
        <f>C6+C18+C23+C31+C38+C50+C55</f>
        <v>8962000000</v>
      </c>
      <c r="D59" s="59">
        <f t="shared" ref="D59:T59" si="19">D6+D18+D23+D31+D38+D50+D55</f>
        <v>278300000</v>
      </c>
      <c r="E59" s="59">
        <f t="shared" si="19"/>
        <v>278300000</v>
      </c>
      <c r="F59" s="59">
        <f t="shared" si="19"/>
        <v>0</v>
      </c>
      <c r="G59" s="59">
        <f t="shared" si="19"/>
        <v>8962000000</v>
      </c>
      <c r="H59" s="59">
        <f t="shared" si="19"/>
        <v>460727747</v>
      </c>
      <c r="I59" s="59">
        <f t="shared" si="19"/>
        <v>677525668</v>
      </c>
      <c r="J59" s="59">
        <f t="shared" si="19"/>
        <v>648390493</v>
      </c>
      <c r="K59" s="59">
        <f t="shared" si="19"/>
        <v>500857683</v>
      </c>
      <c r="L59" s="59">
        <f t="shared" si="19"/>
        <v>590434042</v>
      </c>
      <c r="M59" s="59">
        <f t="shared" si="19"/>
        <v>634767876</v>
      </c>
      <c r="N59" s="59">
        <f t="shared" si="19"/>
        <v>756950419</v>
      </c>
      <c r="O59" s="59">
        <f t="shared" si="19"/>
        <v>461597612</v>
      </c>
      <c r="P59" s="59">
        <f t="shared" si="19"/>
        <v>460579570</v>
      </c>
      <c r="Q59" s="59">
        <f t="shared" si="19"/>
        <v>408577655</v>
      </c>
      <c r="R59" s="59">
        <f t="shared" si="19"/>
        <v>459620888</v>
      </c>
      <c r="S59" s="59">
        <f t="shared" si="19"/>
        <v>831591945</v>
      </c>
      <c r="T59" s="59">
        <f t="shared" si="19"/>
        <v>6891621598</v>
      </c>
    </row>
    <row r="60" spans="1:20" ht="31.5" x14ac:dyDescent="0.25">
      <c r="A60" s="56"/>
      <c r="B60" s="57" t="s">
        <v>77</v>
      </c>
      <c r="C60" s="62">
        <v>0</v>
      </c>
      <c r="D60" s="62"/>
      <c r="E60" s="62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</row>
    <row r="61" spans="1:20" ht="63" x14ac:dyDescent="0.25">
      <c r="A61" s="58">
        <v>305061804</v>
      </c>
      <c r="B61" s="57" t="s">
        <v>78</v>
      </c>
      <c r="C61" s="62">
        <v>0</v>
      </c>
      <c r="D61" s="62"/>
      <c r="E61" s="62"/>
      <c r="F61" s="62"/>
      <c r="G61" s="62">
        <f t="shared" ref="G61:G63" si="20">C61+D61-E61+F61</f>
        <v>0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2">
        <f t="shared" ref="T61:T63" si="21">H61+I61+J61+K61+L61+M61+N61+O61+P61+Q61+R61+S61</f>
        <v>0</v>
      </c>
    </row>
    <row r="62" spans="1:20" ht="47.25" x14ac:dyDescent="0.25">
      <c r="A62" s="58">
        <v>30506180401</v>
      </c>
      <c r="B62" s="57" t="s">
        <v>79</v>
      </c>
      <c r="C62" s="62">
        <v>0</v>
      </c>
      <c r="D62" s="62"/>
      <c r="E62" s="62"/>
      <c r="F62" s="62"/>
      <c r="G62" s="62">
        <f t="shared" si="20"/>
        <v>0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2">
        <f t="shared" si="21"/>
        <v>0</v>
      </c>
    </row>
    <row r="63" spans="1:20" ht="110.25" x14ac:dyDescent="0.25">
      <c r="A63" s="58">
        <v>30506180402</v>
      </c>
      <c r="B63" s="57" t="s">
        <v>80</v>
      </c>
      <c r="C63" s="62">
        <v>0</v>
      </c>
      <c r="D63" s="62"/>
      <c r="E63" s="62"/>
      <c r="F63" s="62"/>
      <c r="G63" s="62">
        <f t="shared" si="20"/>
        <v>0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2">
        <f t="shared" si="21"/>
        <v>0</v>
      </c>
    </row>
    <row r="64" spans="1:20" ht="78.75" x14ac:dyDescent="0.25">
      <c r="A64" s="56"/>
      <c r="B64" s="67" t="s">
        <v>81</v>
      </c>
      <c r="C64" s="59">
        <v>0</v>
      </c>
      <c r="D64" s="59">
        <v>0</v>
      </c>
      <c r="E64" s="59">
        <v>0</v>
      </c>
      <c r="F64" s="59">
        <v>0</v>
      </c>
      <c r="G64" s="59">
        <v>0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</row>
    <row r="65" spans="1:20" ht="47.25" x14ac:dyDescent="0.25">
      <c r="A65" s="56"/>
      <c r="B65" s="57" t="s">
        <v>82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</row>
    <row r="66" spans="1:20" ht="78.75" x14ac:dyDescent="0.25">
      <c r="A66" s="58">
        <v>30507180401</v>
      </c>
      <c r="B66" s="57" t="s">
        <v>89</v>
      </c>
      <c r="C66" s="68">
        <v>400000000</v>
      </c>
      <c r="D66" s="68"/>
      <c r="E66" s="68"/>
      <c r="F66" s="56"/>
      <c r="G66" s="62">
        <f t="shared" ref="G66:G70" si="22">C66+D66-E66+F66</f>
        <v>400000000</v>
      </c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2">
        <f t="shared" ref="T66:T70" si="23">H66+I66+J66+K66+L66+M66+N66+O66+P66+Q66+R66+S66</f>
        <v>0</v>
      </c>
    </row>
    <row r="67" spans="1:20" ht="157.5" x14ac:dyDescent="0.25">
      <c r="A67" s="58">
        <v>30507180402</v>
      </c>
      <c r="B67" s="57" t="s">
        <v>279</v>
      </c>
      <c r="C67" s="68">
        <v>881700000</v>
      </c>
      <c r="D67" s="68"/>
      <c r="E67" s="68"/>
      <c r="F67" s="56"/>
      <c r="G67" s="62">
        <f t="shared" si="22"/>
        <v>881700000</v>
      </c>
      <c r="H67" s="68"/>
      <c r="I67" s="68"/>
      <c r="J67" s="68">
        <v>7800000</v>
      </c>
      <c r="K67" s="68">
        <v>22500000</v>
      </c>
      <c r="L67" s="68">
        <v>0</v>
      </c>
      <c r="M67" s="61">
        <v>7800000</v>
      </c>
      <c r="N67" s="61">
        <v>39139999</v>
      </c>
      <c r="O67" s="61">
        <v>85758918</v>
      </c>
      <c r="P67" s="61">
        <f>269782177</f>
        <v>269782177</v>
      </c>
      <c r="Q67" s="61">
        <v>20001000</v>
      </c>
      <c r="R67" s="61"/>
      <c r="S67" s="61"/>
      <c r="T67" s="62">
        <f t="shared" si="23"/>
        <v>452782094</v>
      </c>
    </row>
    <row r="68" spans="1:20" ht="110.25" x14ac:dyDescent="0.25">
      <c r="A68" s="58">
        <v>30507180403</v>
      </c>
      <c r="B68" s="57" t="s">
        <v>91</v>
      </c>
      <c r="C68" s="68">
        <v>370000000</v>
      </c>
      <c r="D68" s="68"/>
      <c r="E68" s="68"/>
      <c r="F68" s="56"/>
      <c r="G68" s="62">
        <f t="shared" si="22"/>
        <v>370000000</v>
      </c>
      <c r="H68" s="68"/>
      <c r="I68" s="68"/>
      <c r="J68" s="68"/>
      <c r="K68" s="68"/>
      <c r="L68" s="68"/>
      <c r="M68" s="61"/>
      <c r="N68" s="61"/>
      <c r="O68" s="61"/>
      <c r="P68" s="61"/>
      <c r="Q68" s="61"/>
      <c r="R68" s="61"/>
      <c r="S68" s="61"/>
      <c r="T68" s="62">
        <f t="shared" si="23"/>
        <v>0</v>
      </c>
    </row>
    <row r="69" spans="1:20" ht="63" x14ac:dyDescent="0.25">
      <c r="A69" s="58">
        <v>30507180404</v>
      </c>
      <c r="B69" s="57" t="s">
        <v>85</v>
      </c>
      <c r="C69" s="68">
        <v>1082500000</v>
      </c>
      <c r="D69" s="68"/>
      <c r="E69" s="68"/>
      <c r="F69" s="56"/>
      <c r="G69" s="62">
        <f t="shared" si="22"/>
        <v>1082500000</v>
      </c>
      <c r="H69" s="68"/>
      <c r="I69" s="68"/>
      <c r="J69" s="68"/>
      <c r="K69" s="68"/>
      <c r="L69" s="68"/>
      <c r="M69" s="61"/>
      <c r="N69" s="61">
        <v>6491450</v>
      </c>
      <c r="O69" s="61"/>
      <c r="P69" s="61">
        <v>10620750</v>
      </c>
      <c r="Q69" s="61"/>
      <c r="R69" s="61"/>
      <c r="S69" s="61"/>
      <c r="T69" s="62">
        <f t="shared" si="23"/>
        <v>17112200</v>
      </c>
    </row>
    <row r="70" spans="1:20" ht="78.75" x14ac:dyDescent="0.25">
      <c r="A70" s="58">
        <v>30507180405</v>
      </c>
      <c r="B70" s="57" t="s">
        <v>92</v>
      </c>
      <c r="C70" s="68">
        <v>556800000</v>
      </c>
      <c r="D70" s="68"/>
      <c r="E70" s="68"/>
      <c r="F70" s="56"/>
      <c r="G70" s="62">
        <f t="shared" si="22"/>
        <v>556800000</v>
      </c>
      <c r="H70" s="61">
        <v>673955</v>
      </c>
      <c r="I70" s="61">
        <v>4500000</v>
      </c>
      <c r="J70" s="61">
        <v>39900000</v>
      </c>
      <c r="K70" s="61">
        <v>0</v>
      </c>
      <c r="L70" s="61">
        <v>4500000</v>
      </c>
      <c r="M70" s="61">
        <v>39900000</v>
      </c>
      <c r="N70" s="61"/>
      <c r="O70" s="61">
        <v>15831450</v>
      </c>
      <c r="P70" s="61">
        <v>48139999</v>
      </c>
      <c r="Q70" s="61">
        <v>31269573</v>
      </c>
      <c r="R70" s="61">
        <v>7000000</v>
      </c>
      <c r="S70" s="61">
        <v>2450000</v>
      </c>
      <c r="T70" s="62">
        <f t="shared" si="23"/>
        <v>194164977</v>
      </c>
    </row>
    <row r="71" spans="1:20" ht="78.75" x14ac:dyDescent="0.25">
      <c r="A71" s="56"/>
      <c r="B71" s="67" t="s">
        <v>93</v>
      </c>
      <c r="C71" s="59">
        <f>SUM(C66:C70)</f>
        <v>3291000000</v>
      </c>
      <c r="D71" s="59">
        <f t="shared" ref="D71:G71" si="24">SUM(D66:D70)</f>
        <v>0</v>
      </c>
      <c r="E71" s="59">
        <f t="shared" si="24"/>
        <v>0</v>
      </c>
      <c r="F71" s="59">
        <f t="shared" si="24"/>
        <v>0</v>
      </c>
      <c r="G71" s="59">
        <f t="shared" si="24"/>
        <v>3291000000</v>
      </c>
      <c r="H71" s="59">
        <f>SUM(H66:H70)</f>
        <v>673955</v>
      </c>
      <c r="I71" s="59">
        <f t="shared" ref="I71:T71" si="25">SUM(I66:I70)</f>
        <v>4500000</v>
      </c>
      <c r="J71" s="59">
        <f t="shared" si="25"/>
        <v>47700000</v>
      </c>
      <c r="K71" s="59">
        <f t="shared" si="25"/>
        <v>22500000</v>
      </c>
      <c r="L71" s="59">
        <f t="shared" si="25"/>
        <v>4500000</v>
      </c>
      <c r="M71" s="59">
        <f t="shared" si="25"/>
        <v>47700000</v>
      </c>
      <c r="N71" s="59">
        <f t="shared" si="25"/>
        <v>45631449</v>
      </c>
      <c r="O71" s="59">
        <f t="shared" si="25"/>
        <v>101590368</v>
      </c>
      <c r="P71" s="59">
        <f t="shared" si="25"/>
        <v>328542926</v>
      </c>
      <c r="Q71" s="59">
        <f t="shared" si="25"/>
        <v>51270573</v>
      </c>
      <c r="R71" s="59">
        <f t="shared" si="25"/>
        <v>7000000</v>
      </c>
      <c r="S71" s="59">
        <f t="shared" si="25"/>
        <v>2450000</v>
      </c>
      <c r="T71" s="59">
        <f t="shared" si="25"/>
        <v>664059271</v>
      </c>
    </row>
    <row r="72" spans="1:20" ht="18.75" x14ac:dyDescent="0.4">
      <c r="A72" s="69" t="s">
        <v>280</v>
      </c>
      <c r="B72" s="69"/>
      <c r="C72" s="70">
        <f>C59+C64+C71</f>
        <v>12253000000</v>
      </c>
      <c r="D72" s="70">
        <f t="shared" ref="D72:T72" si="26">D59+D64+D71</f>
        <v>278300000</v>
      </c>
      <c r="E72" s="70">
        <f t="shared" si="26"/>
        <v>278300000</v>
      </c>
      <c r="F72" s="70">
        <f t="shared" si="26"/>
        <v>0</v>
      </c>
      <c r="G72" s="70">
        <f t="shared" si="26"/>
        <v>12253000000</v>
      </c>
      <c r="H72" s="70">
        <f t="shared" si="26"/>
        <v>461401702</v>
      </c>
      <c r="I72" s="70">
        <f t="shared" si="26"/>
        <v>682025668</v>
      </c>
      <c r="J72" s="70">
        <f t="shared" si="26"/>
        <v>696090493</v>
      </c>
      <c r="K72" s="70">
        <f t="shared" si="26"/>
        <v>523357683</v>
      </c>
      <c r="L72" s="70">
        <f t="shared" si="26"/>
        <v>594934042</v>
      </c>
      <c r="M72" s="70">
        <f t="shared" si="26"/>
        <v>682467876</v>
      </c>
      <c r="N72" s="70">
        <f t="shared" si="26"/>
        <v>802581868</v>
      </c>
      <c r="O72" s="70">
        <f t="shared" si="26"/>
        <v>563187980</v>
      </c>
      <c r="P72" s="70">
        <f t="shared" si="26"/>
        <v>789122496</v>
      </c>
      <c r="Q72" s="70">
        <f t="shared" si="26"/>
        <v>459848228</v>
      </c>
      <c r="R72" s="70">
        <f t="shared" si="26"/>
        <v>466620888</v>
      </c>
      <c r="S72" s="70">
        <f t="shared" si="26"/>
        <v>834041945</v>
      </c>
      <c r="T72" s="70">
        <f t="shared" si="26"/>
        <v>7555680869</v>
      </c>
    </row>
  </sheetData>
  <mergeCells count="21">
    <mergeCell ref="S2:S3"/>
    <mergeCell ref="T2:T3"/>
    <mergeCell ref="A72:B72"/>
    <mergeCell ref="A1:T1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sqref="A1:P59"/>
    </sheetView>
  </sheetViews>
  <sheetFormatPr baseColWidth="10" defaultRowHeight="15" x14ac:dyDescent="0.25"/>
  <sheetData>
    <row r="1" spans="1:16" ht="15.75" x14ac:dyDescent="0.25">
      <c r="A1" s="71" t="s">
        <v>281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x14ac:dyDescent="0.25">
      <c r="A2" s="72" t="s">
        <v>96</v>
      </c>
      <c r="B2" s="72" t="s">
        <v>97</v>
      </c>
      <c r="C2" s="72" t="s">
        <v>282</v>
      </c>
      <c r="D2" s="73" t="s">
        <v>283</v>
      </c>
      <c r="E2" s="73" t="s">
        <v>284</v>
      </c>
      <c r="F2" s="74" t="s">
        <v>285</v>
      </c>
      <c r="G2" s="74" t="s">
        <v>286</v>
      </c>
      <c r="H2" s="74" t="s">
        <v>287</v>
      </c>
      <c r="I2" s="74" t="s">
        <v>288</v>
      </c>
      <c r="J2" s="74" t="s">
        <v>289</v>
      </c>
      <c r="K2" s="74" t="s">
        <v>290</v>
      </c>
      <c r="L2" s="74" t="s">
        <v>291</v>
      </c>
      <c r="M2" s="74" t="s">
        <v>292</v>
      </c>
      <c r="N2" s="74" t="s">
        <v>293</v>
      </c>
      <c r="O2" s="74" t="s">
        <v>294</v>
      </c>
      <c r="P2" s="74" t="s">
        <v>295</v>
      </c>
    </row>
    <row r="3" spans="1:16" x14ac:dyDescent="0.25">
      <c r="A3" s="75"/>
      <c r="B3" s="75"/>
      <c r="C3" s="75"/>
      <c r="D3" s="76"/>
      <c r="E3" s="76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ht="25.5" x14ac:dyDescent="0.25">
      <c r="A4" s="78">
        <v>1.1000000000000001</v>
      </c>
      <c r="B4" s="79" t="s">
        <v>114</v>
      </c>
      <c r="C4" s="80">
        <f>SUM(C5)</f>
        <v>1430000000</v>
      </c>
      <c r="D4" s="80">
        <f t="shared" ref="D4:P4" si="0">SUM(D5)</f>
        <v>47700000</v>
      </c>
      <c r="E4" s="80">
        <f t="shared" si="0"/>
        <v>95923000</v>
      </c>
      <c r="F4" s="80">
        <f t="shared" si="0"/>
        <v>250800000</v>
      </c>
      <c r="G4" s="80">
        <f t="shared" si="0"/>
        <v>204000000</v>
      </c>
      <c r="H4" s="80">
        <f t="shared" si="0"/>
        <v>211000000</v>
      </c>
      <c r="I4" s="80">
        <f t="shared" si="0"/>
        <v>210000000</v>
      </c>
      <c r="J4" s="80">
        <f t="shared" si="0"/>
        <v>91176049</v>
      </c>
      <c r="K4" s="80">
        <f t="shared" si="0"/>
        <v>249462268</v>
      </c>
      <c r="L4" s="80">
        <f t="shared" si="0"/>
        <v>11360762</v>
      </c>
      <c r="M4" s="80">
        <f t="shared" si="0"/>
        <v>11261515</v>
      </c>
      <c r="N4" s="80">
        <f t="shared" si="0"/>
        <v>50344511</v>
      </c>
      <c r="O4" s="80">
        <f t="shared" si="0"/>
        <v>44516879</v>
      </c>
      <c r="P4" s="80">
        <f t="shared" si="0"/>
        <v>1477544984</v>
      </c>
    </row>
    <row r="5" spans="1:16" ht="38.25" x14ac:dyDescent="0.25">
      <c r="A5" s="81" t="s">
        <v>116</v>
      </c>
      <c r="B5" s="82" t="s">
        <v>117</v>
      </c>
      <c r="C5" s="83">
        <v>1430000000</v>
      </c>
      <c r="D5" s="83">
        <v>47700000</v>
      </c>
      <c r="E5" s="83">
        <v>95923000</v>
      </c>
      <c r="F5" s="83">
        <v>250800000</v>
      </c>
      <c r="G5" s="83">
        <v>204000000</v>
      </c>
      <c r="H5" s="83">
        <v>211000000</v>
      </c>
      <c r="I5" s="84">
        <v>210000000</v>
      </c>
      <c r="J5" s="84">
        <v>91176049</v>
      </c>
      <c r="K5" s="84">
        <f>236412668+1746200+1147800+539400+1245800+882000+1184800+5469200+59000+775400</f>
        <v>249462268</v>
      </c>
      <c r="L5" s="84">
        <v>11360762</v>
      </c>
      <c r="M5" s="84">
        <v>11261515</v>
      </c>
      <c r="N5" s="84">
        <v>50344511</v>
      </c>
      <c r="O5" s="84">
        <v>44516879</v>
      </c>
      <c r="P5" s="83">
        <f>D5+E5+F5+G5+H5+I5+J5+K5+L5+M5+N5+O5</f>
        <v>1477544984</v>
      </c>
    </row>
    <row r="6" spans="1:16" ht="25.5" x14ac:dyDescent="0.25">
      <c r="A6" s="78">
        <v>1.2</v>
      </c>
      <c r="B6" s="79" t="s">
        <v>118</v>
      </c>
      <c r="C6" s="80">
        <f t="shared" ref="C6:P6" si="1">SUM(C7:C46)</f>
        <v>7800000000</v>
      </c>
      <c r="D6" s="80">
        <f t="shared" si="1"/>
        <v>237538529</v>
      </c>
      <c r="E6" s="80">
        <f t="shared" si="1"/>
        <v>281166733</v>
      </c>
      <c r="F6" s="80">
        <f t="shared" si="1"/>
        <v>304127778</v>
      </c>
      <c r="G6" s="80">
        <f t="shared" si="1"/>
        <v>242967303</v>
      </c>
      <c r="H6" s="80">
        <f t="shared" si="1"/>
        <v>251840511</v>
      </c>
      <c r="I6" s="80">
        <f t="shared" si="1"/>
        <v>213119412</v>
      </c>
      <c r="J6" s="80">
        <f t="shared" si="1"/>
        <v>218250560</v>
      </c>
      <c r="K6" s="80">
        <f t="shared" si="1"/>
        <v>253899004</v>
      </c>
      <c r="L6" s="80">
        <f t="shared" si="1"/>
        <v>247636285</v>
      </c>
      <c r="M6" s="80">
        <f t="shared" si="1"/>
        <v>266550641</v>
      </c>
      <c r="N6" s="80">
        <f t="shared" si="1"/>
        <v>246531388</v>
      </c>
      <c r="O6" s="80">
        <f t="shared" si="1"/>
        <v>293547321</v>
      </c>
      <c r="P6" s="80">
        <f t="shared" si="1"/>
        <v>3057175465</v>
      </c>
    </row>
    <row r="7" spans="1:16" x14ac:dyDescent="0.25">
      <c r="A7" s="81" t="s">
        <v>120</v>
      </c>
      <c r="B7" s="82" t="s">
        <v>121</v>
      </c>
      <c r="C7" s="83">
        <v>3200000000</v>
      </c>
      <c r="D7" s="85">
        <f>41115991+15871238+10720874</f>
        <v>67708103</v>
      </c>
      <c r="E7" s="85">
        <f>+'[1]cuadre por cuentas 20170201 al '!$D$107</f>
        <v>84480991</v>
      </c>
      <c r="F7" s="85">
        <f>+'[2]cuadre por cuentas 20170301 al '!$D$107</f>
        <v>91208960</v>
      </c>
      <c r="G7" s="85">
        <f>+'[3]cuadre por cuentas 20170401 al '!$D$107</f>
        <v>86613097</v>
      </c>
      <c r="H7" s="83">
        <f>+'[4]cuadre por cuentas 20170501 al '!$D$107</f>
        <v>78949809</v>
      </c>
      <c r="I7" s="84">
        <f>44314183</f>
        <v>44314183</v>
      </c>
      <c r="J7" s="84">
        <f>42358524+15491254+5252572</f>
        <v>63102350</v>
      </c>
      <c r="K7" s="84">
        <v>98999275</v>
      </c>
      <c r="L7" s="84">
        <v>103100593</v>
      </c>
      <c r="M7" s="84">
        <f>74662001+15988321+9836381+316399</f>
        <v>100803102</v>
      </c>
      <c r="N7" s="84">
        <f>77019413+17406501+7398523+198308</f>
        <v>102022745</v>
      </c>
      <c r="O7" s="84">
        <f>67704959+16053024+11300260+292344</f>
        <v>95350587</v>
      </c>
      <c r="P7" s="83">
        <f t="shared" ref="P7:P46" si="2">D7+E7+F7+G7+H7+I7+J7+K7+L7+M7+N7+O7</f>
        <v>1016653795</v>
      </c>
    </row>
    <row r="8" spans="1:16" ht="25.5" x14ac:dyDescent="0.25">
      <c r="A8" s="81" t="s">
        <v>123</v>
      </c>
      <c r="B8" s="82" t="s">
        <v>124</v>
      </c>
      <c r="C8" s="83">
        <v>365000000</v>
      </c>
      <c r="D8" s="85">
        <f>+'[5]cuadre por cuentas 20170101 al '!$D$150</f>
        <v>16918630</v>
      </c>
      <c r="E8" s="85">
        <f>+'[1]cuadre por cuentas 20170201 al '!$D$142</f>
        <v>16040634</v>
      </c>
      <c r="F8" s="85">
        <f>+'[2]cuadre por cuentas 20170301 al '!$D$144</f>
        <v>17365464</v>
      </c>
      <c r="G8" s="85">
        <f>+'[3]cuadre por cuentas 20170401 al '!$D$144</f>
        <v>14613894</v>
      </c>
      <c r="H8" s="83">
        <f>+'[4]cuadre por cuentas 20170501 al '!$D$144</f>
        <v>19138698</v>
      </c>
      <c r="I8" s="84">
        <f>1002254+3781231+9931426+45557+501127+14578240</f>
        <v>29839835</v>
      </c>
      <c r="J8" s="84">
        <v>29019809</v>
      </c>
      <c r="K8" s="84">
        <v>28518682</v>
      </c>
      <c r="L8" s="84">
        <v>11964234</v>
      </c>
      <c r="M8" s="84">
        <v>11597358</v>
      </c>
      <c r="N8" s="84">
        <v>18187154</v>
      </c>
      <c r="O8" s="84">
        <f>346494+2160492+4239456+81528+7378284</f>
        <v>14206254</v>
      </c>
      <c r="P8" s="83">
        <f t="shared" si="2"/>
        <v>227410646</v>
      </c>
    </row>
    <row r="9" spans="1:16" x14ac:dyDescent="0.25">
      <c r="A9" s="81" t="s">
        <v>126</v>
      </c>
      <c r="B9" s="82" t="s">
        <v>127</v>
      </c>
      <c r="C9" s="83">
        <v>60000000</v>
      </c>
      <c r="D9" s="85">
        <f>+'[5]cuadre por cuentas 20170101 al '!$D$133</f>
        <v>2189046</v>
      </c>
      <c r="E9" s="85">
        <f>+'[1]cuadre por cuentas 20170201 al '!$D$126</f>
        <v>1674495</v>
      </c>
      <c r="F9" s="85">
        <f>+'[2]cuadre por cuentas 20170301 al '!$D$127</f>
        <v>6363081</v>
      </c>
      <c r="G9" s="85">
        <f>+'[3]cuadre por cuentas 20170401 al '!$D$127</f>
        <v>4800219</v>
      </c>
      <c r="H9" s="83">
        <f>+'[4]cuadre por cuentas 20170501 al '!$D$127</f>
        <v>1748917</v>
      </c>
      <c r="I9" s="84">
        <v>1153541</v>
      </c>
      <c r="J9" s="84">
        <v>1600073</v>
      </c>
      <c r="K9" s="84">
        <v>1227963</v>
      </c>
      <c r="L9" s="84">
        <v>3311779</v>
      </c>
      <c r="M9" s="84">
        <v>3683889</v>
      </c>
      <c r="N9" s="84">
        <v>781431</v>
      </c>
      <c r="O9" s="84">
        <f>3200146+2009394</f>
        <v>5209540</v>
      </c>
      <c r="P9" s="83">
        <f t="shared" si="2"/>
        <v>33743974</v>
      </c>
    </row>
    <row r="10" spans="1:16" x14ac:dyDescent="0.25">
      <c r="A10" s="81" t="s">
        <v>129</v>
      </c>
      <c r="B10" s="82" t="s">
        <v>130</v>
      </c>
      <c r="C10" s="83">
        <v>1764000000</v>
      </c>
      <c r="D10" s="85">
        <f>84815104-25576547</f>
        <v>59238557</v>
      </c>
      <c r="E10" s="85">
        <v>63441691</v>
      </c>
      <c r="F10" s="85">
        <v>67201796</v>
      </c>
      <c r="G10" s="85">
        <f>51785698+2352102</f>
        <v>54137800</v>
      </c>
      <c r="H10" s="83">
        <v>58064809</v>
      </c>
      <c r="I10" s="84">
        <f>38250762+2407729</f>
        <v>40658491</v>
      </c>
      <c r="J10" s="84">
        <f>34859640+1222968+32313</f>
        <v>36114921</v>
      </c>
      <c r="K10" s="84">
        <f>34530140+1017693</f>
        <v>35547833</v>
      </c>
      <c r="L10" s="84">
        <v>34273808</v>
      </c>
      <c r="M10" s="84">
        <f>7188036+33967952+229279</f>
        <v>41385267</v>
      </c>
      <c r="N10" s="84">
        <f>34646468+585781+19388</f>
        <v>35251637</v>
      </c>
      <c r="O10" s="84">
        <f>60199884+4093608+77552</f>
        <v>64371044</v>
      </c>
      <c r="P10" s="83">
        <f t="shared" si="2"/>
        <v>589687654</v>
      </c>
    </row>
    <row r="11" spans="1:16" x14ac:dyDescent="0.25">
      <c r="A11" s="81" t="s">
        <v>132</v>
      </c>
      <c r="B11" s="82" t="s">
        <v>133</v>
      </c>
      <c r="C11" s="83">
        <v>26000000</v>
      </c>
      <c r="D11" s="85">
        <f>+'[5]cuadre por cuentas 20170101 al '!$D$109</f>
        <v>923412</v>
      </c>
      <c r="E11" s="85">
        <f>+'[1]cuadre por cuentas 20170201 al '!$D$103</f>
        <v>726840</v>
      </c>
      <c r="F11" s="85">
        <f>+'[2]cuadre por cuentas 20170301 al '!$D$103</f>
        <v>759144</v>
      </c>
      <c r="G11" s="85">
        <f>+'[3]cuadre por cuentas 20170401 al '!$D$103</f>
        <v>662232</v>
      </c>
      <c r="H11" s="83">
        <f>+'[4]cuadre por cuentas 20170501 al '!$D$103</f>
        <v>662232</v>
      </c>
      <c r="I11" s="84">
        <v>791448</v>
      </c>
      <c r="J11" s="84">
        <v>565320</v>
      </c>
      <c r="K11" s="84">
        <v>678384</v>
      </c>
      <c r="L11" s="84">
        <v>1082184</v>
      </c>
      <c r="M11" s="84">
        <v>1549713</v>
      </c>
      <c r="N11" s="84">
        <v>952968</v>
      </c>
      <c r="O11" s="84">
        <v>806721</v>
      </c>
      <c r="P11" s="83">
        <f t="shared" si="2"/>
        <v>10160598</v>
      </c>
    </row>
    <row r="12" spans="1:16" ht="25.5" x14ac:dyDescent="0.25">
      <c r="A12" s="81" t="s">
        <v>135</v>
      </c>
      <c r="B12" s="82" t="s">
        <v>136</v>
      </c>
      <c r="C12" s="83">
        <v>38000000</v>
      </c>
      <c r="D12" s="85">
        <f>+'[5]cuadre por cuentas 20170101 al '!$D$116</f>
        <v>1143372</v>
      </c>
      <c r="E12" s="85">
        <f>+'[1]cuadre por cuentas 20170201 al '!$D$110</f>
        <v>1114419</v>
      </c>
      <c r="F12" s="85">
        <f>+'[2]cuadre por cuentas 20170301 al '!$D$110</f>
        <v>1259782</v>
      </c>
      <c r="G12" s="85">
        <f>+'[3]cuadre por cuentas 20170401 al '!$D$110</f>
        <v>839904</v>
      </c>
      <c r="H12" s="83">
        <f>+'[4]cuadre por cuentas 20170501 al '!$D$110</f>
        <v>1001424</v>
      </c>
      <c r="I12" s="84">
        <v>1276008</v>
      </c>
      <c r="J12" s="84">
        <v>985272</v>
      </c>
      <c r="K12" s="84">
        <v>1001424</v>
      </c>
      <c r="L12" s="84">
        <v>1453680</v>
      </c>
      <c r="M12" s="84">
        <f>2244249+1942707</f>
        <v>4186956</v>
      </c>
      <c r="N12" s="84">
        <v>1372920</v>
      </c>
      <c r="O12" s="84">
        <v>1307433</v>
      </c>
      <c r="P12" s="83">
        <f t="shared" si="2"/>
        <v>16942594</v>
      </c>
    </row>
    <row r="13" spans="1:16" ht="25.5" x14ac:dyDescent="0.25">
      <c r="A13" s="81" t="s">
        <v>138</v>
      </c>
      <c r="B13" s="82" t="s">
        <v>139</v>
      </c>
      <c r="C13" s="83">
        <v>95000000</v>
      </c>
      <c r="D13" s="85">
        <f>+'[5]cuadre por cuentas 20170101 al '!$D$124</f>
        <v>5136620</v>
      </c>
      <c r="E13" s="85">
        <f>+'[1]cuadre por cuentas 20170201 al '!$D$117</f>
        <v>7563611</v>
      </c>
      <c r="F13" s="85">
        <f>+'[2]cuadre por cuentas 20170301 al '!$D$118</f>
        <v>11198564</v>
      </c>
      <c r="G13" s="85">
        <f>+'[3]cuadre por cuentas 20170401 al '!$D$118</f>
        <v>8175667</v>
      </c>
      <c r="H13" s="83">
        <f>+'[4]cuadre por cuentas 20170501 al '!$D$118</f>
        <v>6883478</v>
      </c>
      <c r="I13" s="84">
        <v>5061103</v>
      </c>
      <c r="J13" s="84">
        <v>4011185</v>
      </c>
      <c r="K13" s="84">
        <v>6331301</v>
      </c>
      <c r="L13" s="84">
        <v>8094786</v>
      </c>
      <c r="M13" s="84">
        <v>5280563</v>
      </c>
      <c r="N13" s="84">
        <v>4490628</v>
      </c>
      <c r="O13" s="84">
        <v>4695525</v>
      </c>
      <c r="P13" s="83">
        <f t="shared" si="2"/>
        <v>76923031</v>
      </c>
    </row>
    <row r="14" spans="1:16" x14ac:dyDescent="0.25">
      <c r="A14" s="81" t="s">
        <v>141</v>
      </c>
      <c r="B14" s="82" t="s">
        <v>142</v>
      </c>
      <c r="C14" s="83">
        <v>5000000</v>
      </c>
      <c r="D14" s="85">
        <f>+'[5]cuadre por cuentas 20170101 al '!$D$111</f>
        <v>76257</v>
      </c>
      <c r="E14" s="85">
        <f>+'[1]cuadre por cuentas 20170201 al '!$D$105</f>
        <v>80642</v>
      </c>
      <c r="F14" s="85">
        <v>86952</v>
      </c>
      <c r="G14" s="85">
        <f>+'[3]cuadre por cuentas 20170401 al '!$D$105</f>
        <v>80642</v>
      </c>
      <c r="H14" s="83">
        <v>92456</v>
      </c>
      <c r="I14" s="84">
        <v>123456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3">
        <f t="shared" si="2"/>
        <v>540405</v>
      </c>
    </row>
    <row r="15" spans="1:16" x14ac:dyDescent="0.25">
      <c r="A15" s="81" t="s">
        <v>144</v>
      </c>
      <c r="B15" s="82" t="s">
        <v>145</v>
      </c>
      <c r="C15" s="83">
        <v>545000000</v>
      </c>
      <c r="D15" s="85">
        <v>7020431</v>
      </c>
      <c r="E15" s="85">
        <v>7435753</v>
      </c>
      <c r="F15" s="85">
        <v>9875424</v>
      </c>
      <c r="G15" s="85">
        <v>6879425</v>
      </c>
      <c r="H15" s="83">
        <v>8963582</v>
      </c>
      <c r="I15" s="84">
        <v>6263399</v>
      </c>
      <c r="J15" s="84">
        <v>6974151</v>
      </c>
      <c r="K15" s="84">
        <v>7998062</v>
      </c>
      <c r="L15" s="84">
        <v>6595274</v>
      </c>
      <c r="M15" s="84">
        <v>7804073</v>
      </c>
      <c r="N15" s="84">
        <v>7546780</v>
      </c>
      <c r="O15" s="84">
        <v>6742995</v>
      </c>
      <c r="P15" s="83">
        <f t="shared" si="2"/>
        <v>90099349</v>
      </c>
    </row>
    <row r="16" spans="1:16" ht="25.5" x14ac:dyDescent="0.25">
      <c r="A16" s="81" t="s">
        <v>147</v>
      </c>
      <c r="B16" s="82" t="s">
        <v>148</v>
      </c>
      <c r="C16" s="83">
        <v>6000000</v>
      </c>
      <c r="D16" s="85">
        <f>+'[5]cuadre por cuentas 20170101 al '!$D$134</f>
        <v>456007</v>
      </c>
      <c r="E16" s="85">
        <f>+'[1]cuadre por cuentas 20170201 al '!$D$127</f>
        <v>330192</v>
      </c>
      <c r="F16" s="85">
        <f>+'[2]cuadre por cuentas 20170301 al '!$D$128</f>
        <v>715416</v>
      </c>
      <c r="G16" s="85">
        <f>+'[3]cuadre por cuentas 20170401 al '!$D$128</f>
        <v>348536</v>
      </c>
      <c r="H16" s="83">
        <f>+'[4]cuadre por cuentas 20170501 al '!$D$128</f>
        <v>495288</v>
      </c>
      <c r="I16" s="84">
        <v>421912</v>
      </c>
      <c r="J16" s="84">
        <v>440256</v>
      </c>
      <c r="K16" s="84">
        <v>642040</v>
      </c>
      <c r="L16" s="84">
        <v>587008</v>
      </c>
      <c r="M16" s="84">
        <v>550320</v>
      </c>
      <c r="N16" s="84">
        <v>403568</v>
      </c>
      <c r="O16" s="84">
        <v>458600</v>
      </c>
      <c r="P16" s="83">
        <f t="shared" si="2"/>
        <v>5849143</v>
      </c>
    </row>
    <row r="17" spans="1:16" ht="25.5" x14ac:dyDescent="0.25">
      <c r="A17" s="81" t="s">
        <v>150</v>
      </c>
      <c r="B17" s="82" t="s">
        <v>151</v>
      </c>
      <c r="C17" s="83">
        <v>1100000000</v>
      </c>
      <c r="D17" s="85">
        <f>+'[5]cuadre por cuentas 20170101 al '!$D$117</f>
        <v>34191551</v>
      </c>
      <c r="E17" s="85">
        <f>+'[1]cuadre por cuentas 20170201 al '!$D$111</f>
        <v>41279531</v>
      </c>
      <c r="F17" s="85">
        <f>+'[2]cuadre por cuentas 20170301 al '!$D$111</f>
        <v>41958241</v>
      </c>
      <c r="G17" s="85">
        <f>+'[3]cuadre por cuentas 20170401 al '!$D$111</f>
        <v>28002071</v>
      </c>
      <c r="H17" s="83">
        <f>+'[4]cuadre por cuentas 20170501 al '!$D$111</f>
        <v>32378934</v>
      </c>
      <c r="I17" s="84">
        <v>27271352</v>
      </c>
      <c r="J17" s="84">
        <v>21821967</v>
      </c>
      <c r="K17" s="84">
        <v>20155923</v>
      </c>
      <c r="L17" s="84">
        <v>19304788</v>
      </c>
      <c r="M17" s="84">
        <f>19063655+7701183+201879</f>
        <v>26966717</v>
      </c>
      <c r="N17" s="84">
        <v>19923342</v>
      </c>
      <c r="O17" s="84">
        <f>36858529+3495951+60067</f>
        <v>40414547</v>
      </c>
      <c r="P17" s="83">
        <f t="shared" si="2"/>
        <v>353668964</v>
      </c>
    </row>
    <row r="18" spans="1:16" x14ac:dyDescent="0.25">
      <c r="A18" s="81" t="s">
        <v>153</v>
      </c>
      <c r="B18" s="82" t="s">
        <v>154</v>
      </c>
      <c r="C18" s="83">
        <v>96000000</v>
      </c>
      <c r="D18" s="85">
        <v>13447850</v>
      </c>
      <c r="E18" s="85">
        <v>17375730</v>
      </c>
      <c r="F18" s="85">
        <v>21456782</v>
      </c>
      <c r="G18" s="85">
        <v>12456873</v>
      </c>
      <c r="H18" s="83">
        <v>17546238</v>
      </c>
      <c r="I18" s="84">
        <v>16191130</v>
      </c>
      <c r="J18" s="84">
        <v>17529220</v>
      </c>
      <c r="K18" s="84">
        <v>18406870</v>
      </c>
      <c r="L18" s="84">
        <v>18704210</v>
      </c>
      <c r="M18" s="84">
        <v>17760618</v>
      </c>
      <c r="N18" s="84">
        <v>18344520</v>
      </c>
      <c r="O18" s="84">
        <v>23142875</v>
      </c>
      <c r="P18" s="83">
        <f t="shared" si="2"/>
        <v>212362916</v>
      </c>
    </row>
    <row r="19" spans="1:16" ht="25.5" x14ac:dyDescent="0.25">
      <c r="A19" s="81" t="s">
        <v>156</v>
      </c>
      <c r="B19" s="82" t="s">
        <v>157</v>
      </c>
      <c r="C19" s="83">
        <v>18000000</v>
      </c>
      <c r="D19" s="85">
        <v>8386</v>
      </c>
      <c r="E19" s="85">
        <v>7188</v>
      </c>
      <c r="F19" s="85">
        <v>8695</v>
      </c>
      <c r="G19" s="85">
        <v>7188</v>
      </c>
      <c r="H19" s="83">
        <v>8452</v>
      </c>
      <c r="I19" s="84">
        <v>15574</v>
      </c>
      <c r="J19" s="84">
        <v>4792</v>
      </c>
      <c r="K19" s="84">
        <v>9584</v>
      </c>
      <c r="L19" s="84">
        <v>10782</v>
      </c>
      <c r="M19" s="84">
        <v>32366</v>
      </c>
      <c r="N19" s="84">
        <v>5990</v>
      </c>
      <c r="O19" s="84">
        <v>4792</v>
      </c>
      <c r="P19" s="83">
        <f t="shared" si="2"/>
        <v>123789</v>
      </c>
    </row>
    <row r="20" spans="1:16" ht="25.5" x14ac:dyDescent="0.25">
      <c r="A20" s="81" t="s">
        <v>159</v>
      </c>
      <c r="B20" s="82" t="s">
        <v>160</v>
      </c>
      <c r="C20" s="83">
        <v>53000000</v>
      </c>
      <c r="D20" s="85">
        <v>4326144</v>
      </c>
      <c r="E20" s="85">
        <v>6719168</v>
      </c>
      <c r="F20" s="85">
        <v>528741</v>
      </c>
      <c r="G20" s="85">
        <v>1254639</v>
      </c>
      <c r="H20" s="83">
        <v>789452</v>
      </c>
      <c r="I20" s="84">
        <v>4571694</v>
      </c>
      <c r="J20" s="84">
        <v>4596273</v>
      </c>
      <c r="K20" s="84">
        <v>5456538</v>
      </c>
      <c r="L20" s="84">
        <v>5407380</v>
      </c>
      <c r="M20" s="84">
        <f>12173+6292224+24579</f>
        <v>6328976</v>
      </c>
      <c r="N20" s="84">
        <v>4522536</v>
      </c>
      <c r="O20" s="84">
        <v>4250831</v>
      </c>
      <c r="P20" s="83">
        <f t="shared" si="2"/>
        <v>48752372</v>
      </c>
    </row>
    <row r="21" spans="1:16" ht="25.5" x14ac:dyDescent="0.25">
      <c r="A21" s="81" t="s">
        <v>162</v>
      </c>
      <c r="B21" s="82" t="s">
        <v>163</v>
      </c>
      <c r="C21" s="83">
        <v>82500000</v>
      </c>
      <c r="D21" s="85">
        <f>+'[5]cuadre por cuentas 20170101 al '!$D$126</f>
        <v>4750549</v>
      </c>
      <c r="E21" s="85">
        <f>+'[1]cuadre por cuentas 20170201 al '!$D$119</f>
        <v>5984824</v>
      </c>
      <c r="F21" s="85">
        <f>+'[2]cuadre por cuentas 20170301 al '!$D$120</f>
        <v>7856853</v>
      </c>
      <c r="G21" s="85">
        <f>+'[3]cuadre por cuentas 20170401 al '!$D$120</f>
        <v>6285424</v>
      </c>
      <c r="H21" s="83">
        <f>+'[4]cuadre por cuentas 20170501 al '!$D$120</f>
        <v>5940423</v>
      </c>
      <c r="I21" s="84">
        <v>4342230</v>
      </c>
      <c r="J21" s="84">
        <v>2999420</v>
      </c>
      <c r="K21" s="84">
        <v>3998383</v>
      </c>
      <c r="L21" s="84">
        <v>6163584</v>
      </c>
      <c r="M21" s="84">
        <v>6137055</v>
      </c>
      <c r="N21" s="84">
        <v>4518549</v>
      </c>
      <c r="O21" s="84">
        <v>3898305</v>
      </c>
      <c r="P21" s="83">
        <f t="shared" si="2"/>
        <v>62875599</v>
      </c>
    </row>
    <row r="22" spans="1:16" ht="25.5" x14ac:dyDescent="0.25">
      <c r="A22" s="81" t="s">
        <v>165</v>
      </c>
      <c r="B22" s="82" t="s">
        <v>166</v>
      </c>
      <c r="C22" s="83">
        <v>3850000</v>
      </c>
      <c r="D22" s="85">
        <v>56352</v>
      </c>
      <c r="E22" s="85">
        <v>112804</v>
      </c>
      <c r="F22" s="85">
        <v>25698</v>
      </c>
      <c r="G22" s="85">
        <v>41784</v>
      </c>
      <c r="H22" s="83">
        <v>28654</v>
      </c>
      <c r="I22" s="84">
        <v>0</v>
      </c>
      <c r="J22" s="84">
        <v>56352</v>
      </c>
      <c r="K22" s="84">
        <v>619872</v>
      </c>
      <c r="L22" s="84">
        <v>112704</v>
      </c>
      <c r="M22" s="84">
        <v>788928</v>
      </c>
      <c r="N22" s="84">
        <v>169056</v>
      </c>
      <c r="O22" s="84">
        <v>169056</v>
      </c>
      <c r="P22" s="83">
        <f t="shared" si="2"/>
        <v>2181260</v>
      </c>
    </row>
    <row r="23" spans="1:16" ht="25.5" x14ac:dyDescent="0.25">
      <c r="A23" s="81" t="s">
        <v>168</v>
      </c>
      <c r="B23" s="82" t="s">
        <v>169</v>
      </c>
      <c r="C23" s="83">
        <v>26000000</v>
      </c>
      <c r="D23" s="85">
        <v>5697472</v>
      </c>
      <c r="E23" s="85">
        <v>6571516</v>
      </c>
      <c r="F23" s="85">
        <v>5697841</v>
      </c>
      <c r="G23" s="85">
        <v>2569842</v>
      </c>
      <c r="H23" s="83">
        <v>3569621</v>
      </c>
      <c r="I23" s="84">
        <f>2719248+3431432</f>
        <v>6150680</v>
      </c>
      <c r="J23" s="84">
        <f>2492644+3722780</f>
        <v>6215424</v>
      </c>
      <c r="K23" s="84">
        <f>3560920+2136552</f>
        <v>5697472</v>
      </c>
      <c r="L23" s="84">
        <v>6085936</v>
      </c>
      <c r="M23" s="84">
        <f>3140084+3172456</f>
        <v>6312540</v>
      </c>
      <c r="N23" s="84">
        <v>4046500</v>
      </c>
      <c r="O23" s="84">
        <f>2492644+4434964</f>
        <v>6927608</v>
      </c>
      <c r="P23" s="83">
        <f t="shared" si="2"/>
        <v>65542452</v>
      </c>
    </row>
    <row r="24" spans="1:16" ht="25.5" x14ac:dyDescent="0.25">
      <c r="A24" s="81" t="s">
        <v>171</v>
      </c>
      <c r="B24" s="82" t="s">
        <v>172</v>
      </c>
      <c r="C24" s="83">
        <v>39000000</v>
      </c>
      <c r="D24" s="85">
        <f>+'[5]cuadre por cuentas 20170101 al '!$D$144</f>
        <v>3404112</v>
      </c>
      <c r="E24" s="85">
        <f>+'[1]cuadre por cuentas 20170201 al '!$D$136</f>
        <v>4791760</v>
      </c>
      <c r="F24" s="85">
        <f>+'[2]cuadre por cuentas 20170301 al '!$D$138</f>
        <v>9960400</v>
      </c>
      <c r="G24" s="85">
        <f>+'[3]cuadre por cuentas 20170401 al '!$D$138</f>
        <v>9852720</v>
      </c>
      <c r="H24" s="83">
        <f>+'[4]cuadre por cuentas 20170501 al '!$D$138</f>
        <v>5545520</v>
      </c>
      <c r="I24" s="84">
        <v>7349160</v>
      </c>
      <c r="J24" s="84">
        <v>9448920</v>
      </c>
      <c r="K24" s="84">
        <v>8560560</v>
      </c>
      <c r="L24" s="84">
        <v>8129840</v>
      </c>
      <c r="M24" s="84">
        <v>10660320</v>
      </c>
      <c r="N24" s="84">
        <v>9852720</v>
      </c>
      <c r="O24" s="84">
        <v>5760880</v>
      </c>
      <c r="P24" s="83">
        <f t="shared" si="2"/>
        <v>93316912</v>
      </c>
    </row>
    <row r="25" spans="1:16" ht="38.25" x14ac:dyDescent="0.25">
      <c r="A25" s="81" t="s">
        <v>174</v>
      </c>
      <c r="B25" s="82" t="s">
        <v>175</v>
      </c>
      <c r="C25" s="83">
        <v>10000000</v>
      </c>
      <c r="D25" s="85">
        <v>517952</v>
      </c>
      <c r="E25" s="85">
        <v>809300</v>
      </c>
      <c r="F25" s="85">
        <v>0</v>
      </c>
      <c r="G25" s="85">
        <v>0</v>
      </c>
      <c r="H25" s="83">
        <v>0</v>
      </c>
      <c r="I25" s="84">
        <v>453208</v>
      </c>
      <c r="J25" s="84">
        <v>550324</v>
      </c>
      <c r="K25" s="84">
        <v>550324</v>
      </c>
      <c r="L25" s="84">
        <v>485580</v>
      </c>
      <c r="M25" s="84">
        <v>615068</v>
      </c>
      <c r="N25" s="84">
        <v>712184</v>
      </c>
      <c r="O25" s="84">
        <v>744556</v>
      </c>
      <c r="P25" s="83">
        <f t="shared" si="2"/>
        <v>5438496</v>
      </c>
    </row>
    <row r="26" spans="1:16" ht="38.25" x14ac:dyDescent="0.25">
      <c r="A26" s="81" t="s">
        <v>177</v>
      </c>
      <c r="B26" s="82" t="s">
        <v>178</v>
      </c>
      <c r="C26" s="83">
        <v>1000000</v>
      </c>
      <c r="D26" s="85"/>
      <c r="E26" s="85">
        <v>112704</v>
      </c>
      <c r="F26" s="85">
        <v>0</v>
      </c>
      <c r="G26" s="85">
        <v>0</v>
      </c>
      <c r="H26" s="83">
        <v>0</v>
      </c>
      <c r="I26" s="84">
        <v>145987</v>
      </c>
      <c r="J26" s="84">
        <v>56352</v>
      </c>
      <c r="K26" s="84">
        <v>112704</v>
      </c>
      <c r="L26" s="84">
        <v>338112</v>
      </c>
      <c r="M26" s="84">
        <v>225408</v>
      </c>
      <c r="N26" s="84">
        <v>112704</v>
      </c>
      <c r="O26" s="84">
        <v>169056</v>
      </c>
      <c r="P26" s="83">
        <f t="shared" si="2"/>
        <v>1273027</v>
      </c>
    </row>
    <row r="27" spans="1:16" ht="25.5" x14ac:dyDescent="0.25">
      <c r="A27" s="81" t="s">
        <v>180</v>
      </c>
      <c r="B27" s="82" t="s">
        <v>181</v>
      </c>
      <c r="C27" s="83">
        <v>6000000</v>
      </c>
      <c r="D27" s="85">
        <v>499375</v>
      </c>
      <c r="E27" s="85">
        <v>587500</v>
      </c>
      <c r="F27" s="85">
        <v>0</v>
      </c>
      <c r="G27" s="85">
        <v>0</v>
      </c>
      <c r="H27" s="83">
        <v>0</v>
      </c>
      <c r="I27" s="84">
        <v>470000</v>
      </c>
      <c r="J27" s="84">
        <v>499384</v>
      </c>
      <c r="K27" s="84">
        <v>440632</v>
      </c>
      <c r="L27" s="84">
        <v>352503</v>
      </c>
      <c r="M27" s="84">
        <v>705010</v>
      </c>
      <c r="N27" s="84">
        <v>470007</v>
      </c>
      <c r="O27" s="84">
        <v>616882</v>
      </c>
      <c r="P27" s="83">
        <f t="shared" si="2"/>
        <v>4641293</v>
      </c>
    </row>
    <row r="28" spans="1:16" ht="25.5" x14ac:dyDescent="0.25">
      <c r="A28" s="81" t="s">
        <v>183</v>
      </c>
      <c r="B28" s="82" t="s">
        <v>184</v>
      </c>
      <c r="C28" s="83">
        <v>250000</v>
      </c>
      <c r="D28" s="85">
        <v>0</v>
      </c>
      <c r="E28" s="85">
        <v>56352</v>
      </c>
      <c r="F28" s="85">
        <v>0</v>
      </c>
      <c r="G28" s="85">
        <v>0</v>
      </c>
      <c r="H28" s="83">
        <v>0</v>
      </c>
      <c r="I28" s="84">
        <v>112704</v>
      </c>
      <c r="J28" s="84">
        <v>112704</v>
      </c>
      <c r="K28" s="84">
        <v>56352</v>
      </c>
      <c r="L28" s="84">
        <v>112704</v>
      </c>
      <c r="M28" s="84">
        <v>56352</v>
      </c>
      <c r="N28" s="84">
        <v>169056</v>
      </c>
      <c r="O28" s="84">
        <v>56352</v>
      </c>
      <c r="P28" s="83">
        <f t="shared" si="2"/>
        <v>732576</v>
      </c>
    </row>
    <row r="29" spans="1:16" ht="25.5" x14ac:dyDescent="0.25">
      <c r="A29" s="81" t="s">
        <v>186</v>
      </c>
      <c r="B29" s="82" t="s">
        <v>187</v>
      </c>
      <c r="C29" s="83">
        <v>3500000</v>
      </c>
      <c r="D29" s="85">
        <v>169056</v>
      </c>
      <c r="E29" s="85">
        <v>394464</v>
      </c>
      <c r="F29" s="85">
        <v>0</v>
      </c>
      <c r="G29" s="85">
        <v>0</v>
      </c>
      <c r="H29" s="83">
        <v>0</v>
      </c>
      <c r="I29" s="84">
        <v>112704</v>
      </c>
      <c r="J29" s="84">
        <v>394464</v>
      </c>
      <c r="K29" s="84">
        <v>507168</v>
      </c>
      <c r="L29" s="84">
        <v>281760</v>
      </c>
      <c r="M29" s="84">
        <v>225408</v>
      </c>
      <c r="N29" s="84">
        <v>507168</v>
      </c>
      <c r="O29" s="84">
        <v>507168</v>
      </c>
      <c r="P29" s="83">
        <f t="shared" si="2"/>
        <v>3099360</v>
      </c>
    </row>
    <row r="30" spans="1:16" ht="25.5" x14ac:dyDescent="0.25">
      <c r="A30" s="81" t="s">
        <v>189</v>
      </c>
      <c r="B30" s="82" t="s">
        <v>190</v>
      </c>
      <c r="C30" s="83">
        <v>24200000</v>
      </c>
      <c r="D30" s="85">
        <v>0</v>
      </c>
      <c r="E30" s="85">
        <v>0</v>
      </c>
      <c r="F30" s="85">
        <v>0</v>
      </c>
      <c r="G30" s="85">
        <v>0</v>
      </c>
      <c r="H30" s="83">
        <v>0</v>
      </c>
      <c r="I30" s="84">
        <v>0</v>
      </c>
      <c r="J30" s="84">
        <v>0</v>
      </c>
      <c r="K30" s="84">
        <v>0</v>
      </c>
      <c r="L30" s="84">
        <v>0</v>
      </c>
      <c r="M30" s="84">
        <v>79589</v>
      </c>
      <c r="N30" s="84">
        <v>79589</v>
      </c>
      <c r="O30" s="84">
        <v>238767</v>
      </c>
      <c r="P30" s="83">
        <f t="shared" si="2"/>
        <v>397945</v>
      </c>
    </row>
    <row r="31" spans="1:16" ht="25.5" x14ac:dyDescent="0.25">
      <c r="A31" s="81" t="s">
        <v>192</v>
      </c>
      <c r="B31" s="82" t="s">
        <v>193</v>
      </c>
      <c r="C31" s="83">
        <v>9500000</v>
      </c>
      <c r="D31" s="85">
        <v>245800</v>
      </c>
      <c r="E31" s="85">
        <v>168463</v>
      </c>
      <c r="F31" s="85">
        <v>0</v>
      </c>
      <c r="G31" s="85">
        <v>0</v>
      </c>
      <c r="H31" s="83">
        <v>0</v>
      </c>
      <c r="I31" s="84">
        <v>136689</v>
      </c>
      <c r="J31" s="84">
        <v>259589</v>
      </c>
      <c r="K31" s="84">
        <v>218222</v>
      </c>
      <c r="L31" s="84">
        <v>354911</v>
      </c>
      <c r="M31" s="84">
        <v>501193</v>
      </c>
      <c r="N31" s="84">
        <v>196041</v>
      </c>
      <c r="O31" s="84">
        <v>482007</v>
      </c>
      <c r="P31" s="83">
        <f t="shared" si="2"/>
        <v>2562915</v>
      </c>
    </row>
    <row r="32" spans="1:16" ht="25.5" x14ac:dyDescent="0.25">
      <c r="A32" s="81" t="s">
        <v>195</v>
      </c>
      <c r="B32" s="82" t="s">
        <v>196</v>
      </c>
      <c r="C32" s="83">
        <v>110000</v>
      </c>
      <c r="D32" s="85">
        <v>0</v>
      </c>
      <c r="E32" s="85">
        <v>0</v>
      </c>
      <c r="F32" s="85">
        <v>0</v>
      </c>
      <c r="G32" s="85">
        <v>0</v>
      </c>
      <c r="H32" s="83">
        <v>0</v>
      </c>
      <c r="I32" s="84">
        <v>0</v>
      </c>
      <c r="J32" s="84">
        <v>0</v>
      </c>
      <c r="K32" s="84">
        <v>0</v>
      </c>
      <c r="L32" s="84">
        <v>476610</v>
      </c>
      <c r="M32" s="84">
        <v>444836</v>
      </c>
      <c r="N32" s="84">
        <v>413062</v>
      </c>
      <c r="O32" s="84">
        <v>381288</v>
      </c>
      <c r="P32" s="83">
        <f t="shared" si="2"/>
        <v>1715796</v>
      </c>
    </row>
    <row r="33" spans="1:16" ht="25.5" x14ac:dyDescent="0.25">
      <c r="A33" s="81" t="s">
        <v>198</v>
      </c>
      <c r="B33" s="82" t="s">
        <v>199</v>
      </c>
      <c r="C33" s="83">
        <v>3500000</v>
      </c>
      <c r="D33" s="85">
        <v>0</v>
      </c>
      <c r="E33" s="85">
        <v>0</v>
      </c>
      <c r="F33" s="85">
        <v>0</v>
      </c>
      <c r="G33" s="85">
        <v>0</v>
      </c>
      <c r="H33" s="83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/>
      <c r="O33" s="84">
        <v>0</v>
      </c>
      <c r="P33" s="83">
        <f t="shared" si="2"/>
        <v>0</v>
      </c>
    </row>
    <row r="34" spans="1:16" ht="38.25" x14ac:dyDescent="0.25">
      <c r="A34" s="81" t="s">
        <v>201</v>
      </c>
      <c r="B34" s="82" t="s">
        <v>202</v>
      </c>
      <c r="C34" s="83">
        <v>2200000</v>
      </c>
      <c r="D34" s="85">
        <v>0</v>
      </c>
      <c r="E34" s="85">
        <v>0</v>
      </c>
      <c r="F34" s="85">
        <v>0</v>
      </c>
      <c r="G34" s="85">
        <v>0</v>
      </c>
      <c r="H34" s="83">
        <v>0</v>
      </c>
      <c r="I34" s="84">
        <v>0</v>
      </c>
      <c r="J34" s="84">
        <v>0</v>
      </c>
      <c r="K34" s="84">
        <v>0</v>
      </c>
      <c r="L34" s="84"/>
      <c r="M34" s="84">
        <v>0</v>
      </c>
      <c r="N34" s="84"/>
      <c r="O34" s="84">
        <v>0</v>
      </c>
      <c r="P34" s="83">
        <f t="shared" si="2"/>
        <v>0</v>
      </c>
    </row>
    <row r="35" spans="1:16" ht="25.5" x14ac:dyDescent="0.25">
      <c r="A35" s="81" t="s">
        <v>204</v>
      </c>
      <c r="B35" s="82" t="s">
        <v>205</v>
      </c>
      <c r="C35" s="83">
        <v>112000000</v>
      </c>
      <c r="D35" s="85">
        <f>+'[5]cuadre por cuentas 20170101 al '!$D$149</f>
        <v>3874514</v>
      </c>
      <c r="E35" s="85">
        <f>+'[1]cuadre por cuentas 20170201 al '!$D$141</f>
        <v>8474616</v>
      </c>
      <c r="F35" s="85">
        <f>+'[2]cuadre por cuentas 20170301 al '!$D$143</f>
        <v>4924935</v>
      </c>
      <c r="G35" s="85">
        <f>+'[3]cuadre por cuentas 20170401 al '!$D$143</f>
        <v>1228482</v>
      </c>
      <c r="H35" s="83">
        <f>+'[4]cuadre por cuentas 20170501 al '!$D$143</f>
        <v>4234617</v>
      </c>
      <c r="I35" s="84">
        <v>12258153</v>
      </c>
      <c r="J35" s="84">
        <v>6876513</v>
      </c>
      <c r="K35" s="84">
        <v>1299177</v>
      </c>
      <c r="L35" s="84">
        <v>592470</v>
      </c>
      <c r="M35" s="84">
        <v>739242</v>
      </c>
      <c r="N35" s="84">
        <v>1619874</v>
      </c>
      <c r="O35" s="84">
        <v>2109114</v>
      </c>
      <c r="P35" s="83">
        <f t="shared" si="2"/>
        <v>48231707</v>
      </c>
    </row>
    <row r="36" spans="1:16" ht="25.5" x14ac:dyDescent="0.25">
      <c r="A36" s="81" t="s">
        <v>207</v>
      </c>
      <c r="B36" s="82" t="s">
        <v>208</v>
      </c>
      <c r="C36" s="83">
        <v>27500000</v>
      </c>
      <c r="D36" s="85">
        <f>+'[5]cuadre por cuentas 20170101 al '!$D$121</f>
        <v>1505636</v>
      </c>
      <c r="E36" s="85">
        <f>+'[1]cuadre por cuentas 20170201 al '!$D$114</f>
        <v>1211410</v>
      </c>
      <c r="F36" s="85">
        <f>+'[2]cuadre por cuentas 20170301 al '!$D$115</f>
        <v>1237745</v>
      </c>
      <c r="G36" s="85">
        <f>+'[3]cuadre por cuentas 20170401 al '!$D$115</f>
        <v>1079735</v>
      </c>
      <c r="H36" s="83">
        <f>+'[4]cuadre por cuentas 20170501 al '!$D$115</f>
        <v>1079735</v>
      </c>
      <c r="I36" s="84">
        <v>1290415</v>
      </c>
      <c r="J36" s="84">
        <v>921725</v>
      </c>
      <c r="K36" s="84">
        <v>1106070</v>
      </c>
      <c r="L36" s="84">
        <v>1764445</v>
      </c>
      <c r="M36" s="84">
        <v>2526728</v>
      </c>
      <c r="N36" s="84">
        <v>1553765</v>
      </c>
      <c r="O36" s="84">
        <v>1315318</v>
      </c>
      <c r="P36" s="83">
        <f t="shared" si="2"/>
        <v>16592727</v>
      </c>
    </row>
    <row r="37" spans="1:16" ht="38.25" x14ac:dyDescent="0.25">
      <c r="A37" s="81" t="s">
        <v>210</v>
      </c>
      <c r="B37" s="82" t="s">
        <v>211</v>
      </c>
      <c r="C37" s="83">
        <v>18560000</v>
      </c>
      <c r="D37" s="85">
        <f>+'[5]cuadre por cuentas 20170101 al '!$D$123</f>
        <v>1998832</v>
      </c>
      <c r="E37" s="85">
        <f>+'[1]cuadre por cuentas 20170201 al '!$D$116</f>
        <v>1378527</v>
      </c>
      <c r="F37" s="85">
        <f>+'[2]cuadre por cuentas 20170301 al '!$D$117</f>
        <v>2850703</v>
      </c>
      <c r="G37" s="85">
        <f>+'[3]cuadre por cuentas 20170401 al '!$D$117</f>
        <v>1363543</v>
      </c>
      <c r="H37" s="83">
        <f>+'[4]cuadre por cuentas 20170501 al '!$D$117</f>
        <v>1947920</v>
      </c>
      <c r="I37" s="84">
        <f>1505892+4294</f>
        <v>1510186</v>
      </c>
      <c r="J37" s="84">
        <v>1457194</v>
      </c>
      <c r="K37" s="84">
        <v>2887471</v>
      </c>
      <c r="L37" s="84">
        <v>3978252</v>
      </c>
      <c r="M37" s="84">
        <v>4012279</v>
      </c>
      <c r="N37" s="84">
        <v>3872330</v>
      </c>
      <c r="O37" s="84">
        <v>4728064</v>
      </c>
      <c r="P37" s="83">
        <f t="shared" si="2"/>
        <v>31985301</v>
      </c>
    </row>
    <row r="38" spans="1:16" ht="25.5" x14ac:dyDescent="0.25">
      <c r="A38" s="81" t="s">
        <v>213</v>
      </c>
      <c r="B38" s="82" t="s">
        <v>217</v>
      </c>
      <c r="C38" s="83">
        <v>660000</v>
      </c>
      <c r="D38" s="85">
        <f>+'[5]cuadre por cuentas 20170101 al '!$D$141</f>
        <v>21562</v>
      </c>
      <c r="E38" s="85">
        <v>43124</v>
      </c>
      <c r="F38" s="85">
        <f>+'[2]cuadre por cuentas 20170301 al '!$D$135</f>
        <v>85211</v>
      </c>
      <c r="G38" s="85">
        <f>+'[3]cuadre por cuentas 20170401 al '!$D$135</f>
        <v>36519</v>
      </c>
      <c r="H38" s="83">
        <f>+'[4]cuadre por cuentas 20170501 al '!$D$135</f>
        <v>36519</v>
      </c>
      <c r="I38" s="84">
        <v>36519</v>
      </c>
      <c r="J38" s="84">
        <v>24346</v>
      </c>
      <c r="K38" s="84">
        <v>12173</v>
      </c>
      <c r="L38" s="84">
        <v>36519</v>
      </c>
      <c r="M38" s="84">
        <v>24346</v>
      </c>
      <c r="N38" s="84">
        <v>73038</v>
      </c>
      <c r="O38" s="84">
        <v>12173</v>
      </c>
      <c r="P38" s="83">
        <f t="shared" si="2"/>
        <v>442049</v>
      </c>
    </row>
    <row r="39" spans="1:16" x14ac:dyDescent="0.25">
      <c r="A39" s="81" t="s">
        <v>216</v>
      </c>
      <c r="B39" s="82" t="s">
        <v>220</v>
      </c>
      <c r="C39" s="83">
        <v>2420000</v>
      </c>
      <c r="D39" s="85">
        <f>+'[5]cuadre por cuentas 20170101 al '!$D$145+'[5]cuadre por cuentas 20170101 al '!$D$132</f>
        <v>158380</v>
      </c>
      <c r="E39" s="85">
        <f>+'[1]cuadre por cuentas 20170201 al '!$D$137</f>
        <v>16372</v>
      </c>
      <c r="F39" s="85">
        <f>+'[2]cuadre por cuentas 20170301 al '!$D$126</f>
        <v>163720</v>
      </c>
      <c r="G39" s="85">
        <f>+'[3]cuadre por cuentas 20170401 al '!$D$139</f>
        <v>16372</v>
      </c>
      <c r="H39" s="83">
        <f>+'[4]cuadre por cuentas 20170501 al '!$D$139</f>
        <v>16372</v>
      </c>
      <c r="I39" s="84">
        <v>130976</v>
      </c>
      <c r="J39" s="84">
        <v>49116</v>
      </c>
      <c r="K39" s="84">
        <v>65488</v>
      </c>
      <c r="L39" s="84">
        <v>16372</v>
      </c>
      <c r="M39" s="84">
        <f>49116+147348</f>
        <v>196464</v>
      </c>
      <c r="N39" s="84">
        <v>32744</v>
      </c>
      <c r="O39" s="84">
        <v>49116</v>
      </c>
      <c r="P39" s="83">
        <f t="shared" si="2"/>
        <v>911492</v>
      </c>
    </row>
    <row r="40" spans="1:16" x14ac:dyDescent="0.25">
      <c r="A40" s="81" t="s">
        <v>219</v>
      </c>
      <c r="B40" s="82" t="s">
        <v>223</v>
      </c>
      <c r="C40" s="83">
        <v>110000</v>
      </c>
      <c r="D40" s="85"/>
      <c r="E40" s="85">
        <v>0</v>
      </c>
      <c r="F40" s="85">
        <v>0</v>
      </c>
      <c r="G40" s="85">
        <v>0</v>
      </c>
      <c r="H40" s="83">
        <v>0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3">
        <f t="shared" si="2"/>
        <v>0</v>
      </c>
    </row>
    <row r="41" spans="1:16" ht="25.5" x14ac:dyDescent="0.25">
      <c r="A41" s="81" t="s">
        <v>222</v>
      </c>
      <c r="B41" s="82" t="s">
        <v>226</v>
      </c>
      <c r="C41" s="83">
        <v>2420000</v>
      </c>
      <c r="D41" s="85"/>
      <c r="E41" s="85">
        <v>0</v>
      </c>
      <c r="F41" s="85">
        <v>0</v>
      </c>
      <c r="G41" s="85">
        <v>0</v>
      </c>
      <c r="H41" s="83">
        <v>0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3">
        <f t="shared" si="2"/>
        <v>0</v>
      </c>
    </row>
    <row r="42" spans="1:16" ht="25.5" x14ac:dyDescent="0.25">
      <c r="A42" s="81" t="s">
        <v>296</v>
      </c>
      <c r="B42" s="82" t="s">
        <v>229</v>
      </c>
      <c r="C42" s="83">
        <v>15730000</v>
      </c>
      <c r="D42" s="85">
        <v>467595</v>
      </c>
      <c r="E42" s="85">
        <v>814695</v>
      </c>
      <c r="F42" s="85">
        <v>0</v>
      </c>
      <c r="G42" s="85">
        <v>0</v>
      </c>
      <c r="H42" s="83">
        <v>0</v>
      </c>
      <c r="I42" s="84">
        <v>502965</v>
      </c>
      <c r="J42" s="84">
        <v>764940</v>
      </c>
      <c r="K42" s="84">
        <v>890230</v>
      </c>
      <c r="L42" s="84">
        <v>1499305</v>
      </c>
      <c r="M42" s="84">
        <v>578500</v>
      </c>
      <c r="N42" s="84">
        <v>698995</v>
      </c>
      <c r="O42" s="84">
        <v>2534005</v>
      </c>
      <c r="P42" s="83">
        <f t="shared" si="2"/>
        <v>8751230</v>
      </c>
    </row>
    <row r="43" spans="1:16" ht="25.5" x14ac:dyDescent="0.25">
      <c r="A43" s="81" t="s">
        <v>297</v>
      </c>
      <c r="B43" s="82" t="s">
        <v>232</v>
      </c>
      <c r="C43" s="83">
        <v>2420000</v>
      </c>
      <c r="D43" s="85"/>
      <c r="E43" s="85">
        <v>0</v>
      </c>
      <c r="F43" s="85">
        <v>0</v>
      </c>
      <c r="G43" s="85">
        <v>0</v>
      </c>
      <c r="H43" s="83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3">
        <f t="shared" si="2"/>
        <v>0</v>
      </c>
    </row>
    <row r="44" spans="1:16" x14ac:dyDescent="0.25">
      <c r="A44" s="81" t="s">
        <v>225</v>
      </c>
      <c r="B44" s="82" t="s">
        <v>235</v>
      </c>
      <c r="C44" s="83">
        <v>2420000</v>
      </c>
      <c r="D44" s="85"/>
      <c r="E44" s="85">
        <v>0</v>
      </c>
      <c r="F44" s="85">
        <v>0</v>
      </c>
      <c r="G44" s="85">
        <v>0</v>
      </c>
      <c r="H44" s="83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3">
        <f t="shared" si="2"/>
        <v>0</v>
      </c>
    </row>
    <row r="45" spans="1:16" x14ac:dyDescent="0.25">
      <c r="A45" s="81" t="s">
        <v>228</v>
      </c>
      <c r="B45" s="82" t="s">
        <v>238</v>
      </c>
      <c r="C45" s="83">
        <v>18150000</v>
      </c>
      <c r="D45" s="85">
        <f>+'[5]cuadre por cuentas 20170101 al '!$D$142</f>
        <v>1157628</v>
      </c>
      <c r="E45" s="85">
        <f>+'[1]cuadre por cuentas 20170201 al '!$D$134</f>
        <v>911160</v>
      </c>
      <c r="F45" s="85">
        <f>+'[2]cuadre por cuentas 20170301 al '!$D$136</f>
        <v>951656</v>
      </c>
      <c r="G45" s="85">
        <f>+'[3]cuadre por cuentas 20170401 al '!$D$136</f>
        <v>830168</v>
      </c>
      <c r="H45" s="83">
        <f>+'[4]cuadre por cuentas 20170501 al '!$D$136</f>
        <v>830168</v>
      </c>
      <c r="I45" s="84">
        <v>4916</v>
      </c>
      <c r="J45" s="84">
        <v>708680</v>
      </c>
      <c r="K45" s="84">
        <v>850416</v>
      </c>
      <c r="L45" s="84">
        <v>1356616</v>
      </c>
      <c r="M45" s="84">
        <v>1942707</v>
      </c>
      <c r="N45" s="84">
        <v>1194632</v>
      </c>
      <c r="O45" s="84">
        <v>1011299</v>
      </c>
      <c r="P45" s="83">
        <f t="shared" si="2"/>
        <v>11750046</v>
      </c>
    </row>
    <row r="46" spans="1:16" ht="25.5" x14ac:dyDescent="0.25">
      <c r="A46" s="81" t="s">
        <v>231</v>
      </c>
      <c r="B46" s="82" t="s">
        <v>241</v>
      </c>
      <c r="C46" s="83">
        <v>15000000</v>
      </c>
      <c r="D46" s="85">
        <f>+'[5]cuadre por cuentas 20170101 al '!$D$152</f>
        <v>229348</v>
      </c>
      <c r="E46" s="85">
        <f>+'[1]cuadre por cuentas 20170201 al '!$D$144</f>
        <v>456257</v>
      </c>
      <c r="F46" s="85">
        <v>385974</v>
      </c>
      <c r="G46" s="85">
        <f>+'[3]cuadre por cuentas 20170401 al '!$D$146</f>
        <v>790527</v>
      </c>
      <c r="H46" s="83">
        <f>+'[4]cuadre por cuentas 20170501 al '!$D$146</f>
        <v>1887193</v>
      </c>
      <c r="I46" s="84">
        <v>158794</v>
      </c>
      <c r="J46" s="84">
        <v>89524</v>
      </c>
      <c r="K46" s="84">
        <v>1052411</v>
      </c>
      <c r="L46" s="84">
        <v>1607556</v>
      </c>
      <c r="M46" s="84">
        <v>1848750</v>
      </c>
      <c r="N46" s="84">
        <v>2433155</v>
      </c>
      <c r="O46" s="84">
        <v>874563</v>
      </c>
      <c r="P46" s="83">
        <f t="shared" si="2"/>
        <v>11814052</v>
      </c>
    </row>
    <row r="47" spans="1:16" ht="51" x14ac:dyDescent="0.25">
      <c r="A47" s="86"/>
      <c r="B47" s="87" t="s">
        <v>242</v>
      </c>
      <c r="C47" s="88">
        <f t="shared" ref="C47:K47" si="3">+C4+C6</f>
        <v>9230000000</v>
      </c>
      <c r="D47" s="88">
        <f t="shared" si="3"/>
        <v>285238529</v>
      </c>
      <c r="E47" s="88">
        <f t="shared" si="3"/>
        <v>377089733</v>
      </c>
      <c r="F47" s="88">
        <f t="shared" si="3"/>
        <v>554927778</v>
      </c>
      <c r="G47" s="88">
        <f t="shared" si="3"/>
        <v>446967303</v>
      </c>
      <c r="H47" s="88">
        <f t="shared" si="3"/>
        <v>462840511</v>
      </c>
      <c r="I47" s="88">
        <f t="shared" si="3"/>
        <v>423119412</v>
      </c>
      <c r="J47" s="88">
        <f t="shared" si="3"/>
        <v>309426609</v>
      </c>
      <c r="K47" s="88">
        <f t="shared" si="3"/>
        <v>503361272</v>
      </c>
      <c r="L47" s="88">
        <f>L4+L6</f>
        <v>258997047</v>
      </c>
      <c r="M47" s="88">
        <f>M4+M6</f>
        <v>277812156</v>
      </c>
      <c r="N47" s="88">
        <f>N4+N6</f>
        <v>296875899</v>
      </c>
      <c r="O47" s="88">
        <f>O4+O6</f>
        <v>338064200</v>
      </c>
      <c r="P47" s="88">
        <f>+P4+P6</f>
        <v>4534720449</v>
      </c>
    </row>
    <row r="48" spans="1:16" ht="25.5" x14ac:dyDescent="0.25">
      <c r="A48" s="78">
        <v>2</v>
      </c>
      <c r="B48" s="79" t="s">
        <v>243</v>
      </c>
      <c r="C48" s="83"/>
      <c r="D48" s="83"/>
      <c r="E48" s="83"/>
      <c r="F48" s="83"/>
      <c r="G48" s="83"/>
      <c r="H48" s="83"/>
      <c r="I48" s="84"/>
      <c r="J48" s="84"/>
      <c r="K48" s="84"/>
      <c r="L48" s="84"/>
      <c r="M48" s="84"/>
      <c r="N48" s="84"/>
      <c r="O48" s="84"/>
      <c r="P48" s="80">
        <f>+D48+E48+F48+G48+H48</f>
        <v>0</v>
      </c>
    </row>
    <row r="49" spans="1:16" ht="25.5" x14ac:dyDescent="0.25">
      <c r="A49" s="78">
        <v>2.1</v>
      </c>
      <c r="B49" s="79" t="s">
        <v>244</v>
      </c>
      <c r="C49" s="83">
        <v>0</v>
      </c>
      <c r="D49" s="83"/>
      <c r="E49" s="83"/>
      <c r="F49" s="83"/>
      <c r="G49" s="83"/>
      <c r="H49" s="83"/>
      <c r="I49" s="89"/>
      <c r="J49" s="89"/>
      <c r="K49" s="89"/>
      <c r="L49" s="89"/>
      <c r="M49" s="89"/>
      <c r="N49" s="89"/>
      <c r="O49" s="89"/>
      <c r="P49" s="80">
        <f>+D49+E49+F49+G49+H49</f>
        <v>0</v>
      </c>
    </row>
    <row r="50" spans="1:16" ht="25.5" x14ac:dyDescent="0.25">
      <c r="A50" s="78">
        <v>2.2000000000000002</v>
      </c>
      <c r="B50" s="79" t="s">
        <v>246</v>
      </c>
      <c r="C50" s="80">
        <v>10000000</v>
      </c>
      <c r="D50" s="80"/>
      <c r="E50" s="83"/>
      <c r="F50" s="83"/>
      <c r="G50" s="83"/>
      <c r="H50" s="83"/>
      <c r="I50" s="84"/>
      <c r="J50" s="84"/>
      <c r="K50" s="84"/>
      <c r="L50" s="84"/>
      <c r="M50" s="84"/>
      <c r="N50" s="84"/>
      <c r="O50" s="84"/>
      <c r="P50" s="80">
        <f>+D50+E50+F50+G50+H50</f>
        <v>0</v>
      </c>
    </row>
    <row r="51" spans="1:16" ht="25.5" x14ac:dyDescent="0.25">
      <c r="A51" s="78">
        <v>2.2999999999999998</v>
      </c>
      <c r="B51" s="79" t="s">
        <v>248</v>
      </c>
      <c r="C51" s="80">
        <f>SUM(C52:C55)</f>
        <v>3000000000</v>
      </c>
      <c r="D51" s="80">
        <f t="shared" ref="D51:P51" si="4">SUM(D52:D55)</f>
        <v>190554448</v>
      </c>
      <c r="E51" s="80">
        <f t="shared" si="4"/>
        <v>220809485</v>
      </c>
      <c r="F51" s="80">
        <f t="shared" si="4"/>
        <v>398505277</v>
      </c>
      <c r="G51" s="80">
        <f t="shared" si="4"/>
        <v>341003083</v>
      </c>
      <c r="H51" s="80">
        <f t="shared" si="4"/>
        <v>308662673</v>
      </c>
      <c r="I51" s="80">
        <f t="shared" si="4"/>
        <v>187280565</v>
      </c>
      <c r="J51" s="80">
        <f t="shared" si="4"/>
        <v>192971194</v>
      </c>
      <c r="K51" s="80">
        <f t="shared" si="4"/>
        <v>239017785</v>
      </c>
      <c r="L51" s="80">
        <f t="shared" si="4"/>
        <v>269986626</v>
      </c>
      <c r="M51" s="80">
        <f t="shared" si="4"/>
        <v>271564632</v>
      </c>
      <c r="N51" s="80">
        <f t="shared" si="4"/>
        <v>204538850</v>
      </c>
      <c r="O51" s="80">
        <f t="shared" si="4"/>
        <v>205284733</v>
      </c>
      <c r="P51" s="80">
        <f t="shared" si="4"/>
        <v>3030179351</v>
      </c>
    </row>
    <row r="52" spans="1:16" ht="38.25" x14ac:dyDescent="0.25">
      <c r="A52" s="81" t="s">
        <v>250</v>
      </c>
      <c r="B52" s="90" t="s">
        <v>251</v>
      </c>
      <c r="C52" s="83">
        <v>1300000000</v>
      </c>
      <c r="D52" s="83">
        <f>+'[5]cuadre por cuentas 20170101 al '!$D$136</f>
        <v>65545371</v>
      </c>
      <c r="E52" s="83">
        <f>+'[1]cuadre por cuentas 20170201 al '!$D$129</f>
        <v>72648514</v>
      </c>
      <c r="F52" s="83">
        <f>+'[2]cuadre por cuentas 20170301 al '!$D$130</f>
        <v>98077252</v>
      </c>
      <c r="G52" s="83">
        <f>+'[3]cuadre por cuentas 20170401 al '!$D$130</f>
        <v>68372059</v>
      </c>
      <c r="H52" s="83">
        <f>+'[4]cuadre por cuentas 20170501 al '!$D$130</f>
        <v>68428433</v>
      </c>
      <c r="I52" s="83">
        <f>+'[6]cuadre por cuentas 20170601 al '!$D$130</f>
        <v>64763607</v>
      </c>
      <c r="J52" s="83">
        <v>68952501</v>
      </c>
      <c r="K52" s="84">
        <v>77299343</v>
      </c>
      <c r="L52" s="84">
        <v>85453785</v>
      </c>
      <c r="M52" s="84">
        <f>2267211+13067003+69058526+1197544+530550</f>
        <v>86120834</v>
      </c>
      <c r="N52" s="84">
        <f>2095594+14715415+59486607+669477+1012580</f>
        <v>77979673</v>
      </c>
      <c r="O52" s="84">
        <f>2277111+7200191+57028444+492583+592077</f>
        <v>67590406</v>
      </c>
      <c r="P52" s="83">
        <f t="shared" ref="P52:P55" si="5">D52+E52+F52+G52+H52+I52+J52+K52+L52+M52+N52+O52</f>
        <v>901231778</v>
      </c>
    </row>
    <row r="53" spans="1:16" ht="25.5" x14ac:dyDescent="0.25">
      <c r="A53" s="81" t="s">
        <v>253</v>
      </c>
      <c r="B53" s="90" t="s">
        <v>254</v>
      </c>
      <c r="C53" s="83">
        <v>470000000</v>
      </c>
      <c r="D53" s="83">
        <f>+'[5]cuadre por cuentas 20170101 al '!$D$135+'[5]cuadre por cuentas 20170101 al '!$D$137</f>
        <v>52250659</v>
      </c>
      <c r="E53" s="83">
        <f>+'[1]cuadre por cuentas 20170201 al '!$D$128+'[1]cuadre por cuentas 20170201 al '!$D$130</f>
        <v>54622977</v>
      </c>
      <c r="F53" s="83">
        <f>+'[2]cuadre por cuentas 20170301 al '!$D$129+'[2]cuadre por cuentas 20170301 al '!$D$131</f>
        <v>89619990</v>
      </c>
      <c r="G53" s="83">
        <f>+'[3]cuadre por cuentas 20170401 al '!$D$129+'[3]cuadre por cuentas 20170401 al '!$D$131</f>
        <v>66913228</v>
      </c>
      <c r="H53" s="83">
        <f>+'[4]cuadre por cuentas 20170501 al '!$D$129+'[4]cuadre por cuentas 20170501 al '!$D$131</f>
        <v>68764082</v>
      </c>
      <c r="I53" s="83">
        <f>+'[6]cuadre por cuentas 20170601 al '!$D$129+'[6]cuadre por cuentas 20170601 al '!$D$131</f>
        <v>57343883</v>
      </c>
      <c r="J53" s="83">
        <v>54866370</v>
      </c>
      <c r="K53" s="84">
        <v>66108625</v>
      </c>
      <c r="L53" s="84">
        <v>80177302</v>
      </c>
      <c r="M53" s="84">
        <f>406335+224416+46032983+615736+19744+732312+1899669+22618+14174707+25367304</f>
        <v>89495824</v>
      </c>
      <c r="N53" s="84">
        <v>68675248</v>
      </c>
      <c r="O53" s="84">
        <v>63590406</v>
      </c>
      <c r="P53" s="83">
        <f t="shared" si="5"/>
        <v>812428594</v>
      </c>
    </row>
    <row r="54" spans="1:16" ht="38.25" x14ac:dyDescent="0.25">
      <c r="A54" s="91" t="s">
        <v>256</v>
      </c>
      <c r="B54" s="90" t="s">
        <v>260</v>
      </c>
      <c r="C54" s="83">
        <v>610000000</v>
      </c>
      <c r="D54" s="83">
        <f>+'[5]cuadre por cuentas 20170101 al '!$D$139</f>
        <v>27327964</v>
      </c>
      <c r="E54" s="83">
        <f>+'[1]cuadre por cuentas 20170201 al '!$D$132</f>
        <v>34861389</v>
      </c>
      <c r="F54" s="83">
        <f>+'[2]cuadre por cuentas 20170301 al '!$D$133</f>
        <v>79292369</v>
      </c>
      <c r="G54" s="83">
        <f>+'[3]cuadre por cuentas 20170401 al '!$D$133</f>
        <v>75945247</v>
      </c>
      <c r="H54" s="83">
        <f>+'[4]cuadre por cuentas 20170501 al '!$D$133</f>
        <v>68968892</v>
      </c>
      <c r="I54" s="83">
        <f>+'[6]cuadre por cuentas 20170601 al '!$D$133</f>
        <v>30350033</v>
      </c>
      <c r="J54" s="83">
        <f>+'[7]cuadre por cuentas 20170701 al '!$D$149</f>
        <v>32166646</v>
      </c>
      <c r="K54" s="84">
        <f>3954+43092889+212581</f>
        <v>43309424</v>
      </c>
      <c r="L54" s="84">
        <v>47710547</v>
      </c>
      <c r="M54" s="84">
        <f>3633+40955486+2332288</f>
        <v>43291407</v>
      </c>
      <c r="N54" s="84">
        <v>26969956</v>
      </c>
      <c r="O54" s="84">
        <v>33396821</v>
      </c>
      <c r="P54" s="83">
        <f t="shared" si="5"/>
        <v>543590695</v>
      </c>
    </row>
    <row r="55" spans="1:16" ht="51" x14ac:dyDescent="0.25">
      <c r="A55" s="81" t="s">
        <v>259</v>
      </c>
      <c r="B55" s="90" t="s">
        <v>263</v>
      </c>
      <c r="C55" s="83">
        <v>620000000</v>
      </c>
      <c r="D55" s="83">
        <f>+'[5]cuadre por cuentas 20170101 al '!$D$138</f>
        <v>45430454</v>
      </c>
      <c r="E55" s="83">
        <f>+'[1]cuadre por cuentas 20170201 al '!$D$131</f>
        <v>58676605</v>
      </c>
      <c r="F55" s="83">
        <f>+'[2]cuadre por cuentas 20170301 al '!$D$132</f>
        <v>131515666</v>
      </c>
      <c r="G55" s="83">
        <f>+'[3]cuadre por cuentas 20170401 al '!$D$132</f>
        <v>129772549</v>
      </c>
      <c r="H55" s="83">
        <f>+'[4]cuadre por cuentas 20170501 al '!$D$132</f>
        <v>102501266</v>
      </c>
      <c r="I55" s="83">
        <f>+'[6]cuadre por cuentas 20170601 al '!$D$132</f>
        <v>34823042</v>
      </c>
      <c r="J55" s="83">
        <v>36985677</v>
      </c>
      <c r="K55" s="84">
        <f>52040960+259433</f>
        <v>52300393</v>
      </c>
      <c r="L55" s="84">
        <v>56644992</v>
      </c>
      <c r="M55" s="84">
        <f>50205586+2450981</f>
        <v>52656567</v>
      </c>
      <c r="N55" s="84">
        <v>30913973</v>
      </c>
      <c r="O55" s="84">
        <v>40707100</v>
      </c>
      <c r="P55" s="83">
        <f t="shared" si="5"/>
        <v>772928284</v>
      </c>
    </row>
    <row r="56" spans="1:16" ht="25.5" x14ac:dyDescent="0.25">
      <c r="A56" s="78">
        <v>2.4</v>
      </c>
      <c r="B56" s="79" t="s">
        <v>265</v>
      </c>
      <c r="C56" s="80">
        <v>12000000</v>
      </c>
      <c r="D56" s="80">
        <v>452897</v>
      </c>
      <c r="E56" s="83">
        <v>687945</v>
      </c>
      <c r="F56" s="83">
        <v>0</v>
      </c>
      <c r="G56" s="83">
        <v>0</v>
      </c>
      <c r="H56" s="83"/>
      <c r="I56" s="83"/>
      <c r="J56" s="83"/>
      <c r="K56" s="83"/>
      <c r="L56" s="83"/>
      <c r="M56" s="83"/>
      <c r="N56" s="83"/>
      <c r="O56" s="83"/>
      <c r="P56" s="80">
        <f>+D56+E56+F56+G56+H56+I56</f>
        <v>1140842</v>
      </c>
    </row>
    <row r="57" spans="1:16" ht="25.5" x14ac:dyDescent="0.25">
      <c r="A57" s="78">
        <v>2.5</v>
      </c>
      <c r="B57" s="79" t="s">
        <v>267</v>
      </c>
      <c r="C57" s="80">
        <v>1000000</v>
      </c>
      <c r="D57" s="80">
        <v>0</v>
      </c>
      <c r="E57" s="83"/>
      <c r="F57" s="83">
        <v>0</v>
      </c>
      <c r="G57" s="83">
        <v>0</v>
      </c>
      <c r="H57" s="83"/>
      <c r="I57" s="83"/>
      <c r="J57" s="83"/>
      <c r="K57" s="83"/>
      <c r="L57" s="83"/>
      <c r="M57" s="83"/>
      <c r="N57" s="83"/>
      <c r="O57" s="83"/>
      <c r="P57" s="80">
        <f>+D57+E57+F57+G57+H57</f>
        <v>0</v>
      </c>
    </row>
    <row r="58" spans="1:16" ht="51" x14ac:dyDescent="0.25">
      <c r="A58" s="86"/>
      <c r="B58" s="87" t="s">
        <v>268</v>
      </c>
      <c r="C58" s="88">
        <f>C49+C50+C51+C56+C57</f>
        <v>3023000000</v>
      </c>
      <c r="D58" s="88">
        <f t="shared" ref="D58:O58" si="6">D49+D50+D51+D56+D57</f>
        <v>191007345</v>
      </c>
      <c r="E58" s="88">
        <f>E49+E50+E51+E56+E57</f>
        <v>221497430</v>
      </c>
      <c r="F58" s="88">
        <f t="shared" si="6"/>
        <v>398505277</v>
      </c>
      <c r="G58" s="88">
        <f t="shared" si="6"/>
        <v>341003083</v>
      </c>
      <c r="H58" s="88">
        <f t="shared" si="6"/>
        <v>308662673</v>
      </c>
      <c r="I58" s="88">
        <f t="shared" si="6"/>
        <v>187280565</v>
      </c>
      <c r="J58" s="88">
        <f t="shared" si="6"/>
        <v>192971194</v>
      </c>
      <c r="K58" s="88">
        <f t="shared" si="6"/>
        <v>239017785</v>
      </c>
      <c r="L58" s="88">
        <f t="shared" si="6"/>
        <v>269986626</v>
      </c>
      <c r="M58" s="88">
        <f t="shared" si="6"/>
        <v>271564632</v>
      </c>
      <c r="N58" s="88">
        <f t="shared" si="6"/>
        <v>204538850</v>
      </c>
      <c r="O58" s="88">
        <f t="shared" si="6"/>
        <v>205284733</v>
      </c>
      <c r="P58" s="88">
        <f>P49+P50+P51+P56+P57</f>
        <v>3031320193</v>
      </c>
    </row>
    <row r="59" spans="1:16" x14ac:dyDescent="0.25">
      <c r="A59" s="92" t="s">
        <v>298</v>
      </c>
      <c r="B59" s="92"/>
      <c r="C59" s="93">
        <f>+C47+C58</f>
        <v>12253000000</v>
      </c>
      <c r="D59" s="93">
        <f t="shared" ref="D59:P59" si="7">+D47+D58</f>
        <v>476245874</v>
      </c>
      <c r="E59" s="93">
        <f t="shared" si="7"/>
        <v>598587163</v>
      </c>
      <c r="F59" s="93">
        <f t="shared" si="7"/>
        <v>953433055</v>
      </c>
      <c r="G59" s="93">
        <f t="shared" si="7"/>
        <v>787970386</v>
      </c>
      <c r="H59" s="93">
        <f t="shared" si="7"/>
        <v>771503184</v>
      </c>
      <c r="I59" s="93">
        <f t="shared" si="7"/>
        <v>610399977</v>
      </c>
      <c r="J59" s="93">
        <f t="shared" si="7"/>
        <v>502397803</v>
      </c>
      <c r="K59" s="93">
        <f t="shared" si="7"/>
        <v>742379057</v>
      </c>
      <c r="L59" s="93">
        <f t="shared" si="7"/>
        <v>528983673</v>
      </c>
      <c r="M59" s="93">
        <f t="shared" si="7"/>
        <v>549376788</v>
      </c>
      <c r="N59" s="93">
        <f t="shared" si="7"/>
        <v>501414749</v>
      </c>
      <c r="O59" s="93">
        <f t="shared" si="7"/>
        <v>543348933</v>
      </c>
      <c r="P59" s="93">
        <f t="shared" si="7"/>
        <v>7566040642</v>
      </c>
    </row>
  </sheetData>
  <mergeCells count="18">
    <mergeCell ref="P2:P3"/>
    <mergeCell ref="A59:B59"/>
    <mergeCell ref="J2:J3"/>
    <mergeCell ref="K2:K3"/>
    <mergeCell ref="L2:L3"/>
    <mergeCell ref="M2:M3"/>
    <mergeCell ref="N2:N3"/>
    <mergeCell ref="O2:O3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workbookViewId="0">
      <selection activeCell="I10" sqref="I10"/>
    </sheetView>
  </sheetViews>
  <sheetFormatPr baseColWidth="10" defaultRowHeight="15" x14ac:dyDescent="0.25"/>
  <sheetData>
    <row r="1" spans="1:20" ht="24.75" x14ac:dyDescent="0.5">
      <c r="A1" s="94" t="s">
        <v>299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24.75" x14ac:dyDescent="0.5">
      <c r="A2" s="94" t="s">
        <v>300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x14ac:dyDescent="0.25">
      <c r="A3" s="72" t="s">
        <v>0</v>
      </c>
      <c r="B3" s="72" t="s">
        <v>1</v>
      </c>
      <c r="C3" s="72" t="s">
        <v>301</v>
      </c>
      <c r="D3" s="95" t="s">
        <v>272</v>
      </c>
      <c r="E3" s="96"/>
      <c r="F3" s="72" t="s">
        <v>4</v>
      </c>
      <c r="G3" s="72" t="s">
        <v>302</v>
      </c>
      <c r="H3" s="72" t="s">
        <v>6</v>
      </c>
      <c r="I3" s="72" t="s">
        <v>7</v>
      </c>
      <c r="J3" s="72" t="s">
        <v>8</v>
      </c>
      <c r="K3" s="72" t="s">
        <v>9</v>
      </c>
      <c r="L3" s="72" t="s">
        <v>10</v>
      </c>
      <c r="M3" s="72" t="s">
        <v>11</v>
      </c>
      <c r="N3" s="72" t="s">
        <v>12</v>
      </c>
      <c r="O3" s="72" t="s">
        <v>13</v>
      </c>
      <c r="P3" s="72" t="s">
        <v>14</v>
      </c>
      <c r="Q3" s="72" t="s">
        <v>15</v>
      </c>
      <c r="R3" s="72" t="s">
        <v>16</v>
      </c>
      <c r="S3" s="72" t="s">
        <v>303</v>
      </c>
      <c r="T3" s="72" t="s">
        <v>304</v>
      </c>
    </row>
    <row r="4" spans="1:20" ht="25.5" x14ac:dyDescent="0.25">
      <c r="A4" s="75"/>
      <c r="B4" s="75"/>
      <c r="C4" s="75"/>
      <c r="D4" s="97" t="s">
        <v>19</v>
      </c>
      <c r="E4" s="97" t="s">
        <v>275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0" ht="18.75" x14ac:dyDescent="0.3">
      <c r="A5" s="8">
        <v>3050</v>
      </c>
      <c r="B5" s="9" t="s">
        <v>21</v>
      </c>
      <c r="C5" s="10"/>
      <c r="D5" s="10"/>
      <c r="E5" s="10"/>
      <c r="F5" s="10"/>
      <c r="G5" s="10"/>
      <c r="H5" s="10"/>
      <c r="I5" s="10"/>
      <c r="J5" s="98"/>
      <c r="K5" s="98"/>
      <c r="L5" s="98"/>
      <c r="M5" s="98"/>
      <c r="N5" s="98"/>
      <c r="O5" s="98"/>
      <c r="P5" s="98"/>
      <c r="Q5" s="98"/>
      <c r="R5" s="98"/>
      <c r="S5" s="98"/>
      <c r="T5" s="10"/>
    </row>
    <row r="6" spans="1:20" ht="18.75" x14ac:dyDescent="0.4">
      <c r="A6" s="99">
        <v>30501</v>
      </c>
      <c r="B6" s="100" t="s">
        <v>22</v>
      </c>
      <c r="C6" s="10"/>
      <c r="D6" s="10"/>
      <c r="E6" s="10"/>
      <c r="F6" s="10"/>
      <c r="G6" s="10"/>
      <c r="H6" s="10"/>
      <c r="I6" s="10"/>
      <c r="J6" s="98"/>
      <c r="K6" s="98"/>
      <c r="L6" s="98"/>
      <c r="M6" s="98"/>
      <c r="N6" s="98"/>
      <c r="O6" s="98"/>
      <c r="P6" s="98"/>
      <c r="Q6" s="98"/>
      <c r="R6" s="98"/>
      <c r="S6" s="98"/>
      <c r="T6" s="10"/>
    </row>
    <row r="7" spans="1:20" ht="16.5" x14ac:dyDescent="0.3">
      <c r="A7" s="101">
        <v>30501180</v>
      </c>
      <c r="B7" s="102" t="s">
        <v>23</v>
      </c>
      <c r="C7" s="103">
        <f>SUM(C8:C18)</f>
        <v>4354000000</v>
      </c>
      <c r="D7" s="103">
        <f t="shared" ref="D7:T7" si="0">SUM(D8:D18)</f>
        <v>515800000</v>
      </c>
      <c r="E7" s="103">
        <f t="shared" si="0"/>
        <v>8000000</v>
      </c>
      <c r="F7" s="103">
        <f t="shared" si="0"/>
        <v>0</v>
      </c>
      <c r="G7" s="11">
        <f t="shared" si="0"/>
        <v>4861800000</v>
      </c>
      <c r="H7" s="11">
        <f t="shared" si="0"/>
        <v>0</v>
      </c>
      <c r="I7" s="11">
        <f t="shared" si="0"/>
        <v>611463293</v>
      </c>
      <c r="J7" s="104">
        <f t="shared" si="0"/>
        <v>605740748</v>
      </c>
      <c r="K7" s="11">
        <f t="shared" si="0"/>
        <v>326489882</v>
      </c>
      <c r="L7" s="11">
        <f t="shared" si="0"/>
        <v>320444531</v>
      </c>
      <c r="M7" s="11">
        <f t="shared" si="0"/>
        <v>337788479</v>
      </c>
      <c r="N7" s="11">
        <f t="shared" si="0"/>
        <v>477442827</v>
      </c>
      <c r="O7" s="11">
        <f t="shared" si="0"/>
        <v>313507881</v>
      </c>
      <c r="P7" s="11">
        <f t="shared" si="0"/>
        <v>326691047</v>
      </c>
      <c r="Q7" s="11">
        <f t="shared" si="0"/>
        <v>420578574</v>
      </c>
      <c r="R7" s="11">
        <f t="shared" si="0"/>
        <v>310075823</v>
      </c>
      <c r="S7" s="11">
        <f>SUM(S9:S18)</f>
        <v>347913032</v>
      </c>
      <c r="T7" s="11">
        <f t="shared" si="0"/>
        <v>4673630974</v>
      </c>
    </row>
    <row r="8" spans="1:20" x14ac:dyDescent="0.25">
      <c r="A8" s="105">
        <v>30501180401</v>
      </c>
      <c r="B8" s="12" t="s">
        <v>24</v>
      </c>
      <c r="C8" s="13">
        <v>3200000000</v>
      </c>
      <c r="D8" s="106">
        <v>440000000</v>
      </c>
      <c r="E8" s="13"/>
      <c r="F8" s="16"/>
      <c r="G8" s="16">
        <f>C8+D8-E8+F8</f>
        <v>3640000000</v>
      </c>
      <c r="H8" s="13"/>
      <c r="I8" s="13">
        <v>511598894</v>
      </c>
      <c r="J8" s="107">
        <v>517403877</v>
      </c>
      <c r="K8" s="107">
        <v>274141934</v>
      </c>
      <c r="L8" s="107">
        <v>266008345</v>
      </c>
      <c r="M8" s="107">
        <v>275286176</v>
      </c>
      <c r="N8" s="107">
        <v>280550169</v>
      </c>
      <c r="O8" s="107">
        <v>264170307</v>
      </c>
      <c r="P8" s="107">
        <v>280717778</v>
      </c>
      <c r="Q8" s="107">
        <v>384342485</v>
      </c>
      <c r="R8" s="107">
        <v>270871315</v>
      </c>
      <c r="S8" s="108">
        <v>275494857</v>
      </c>
      <c r="T8" s="16">
        <f>H8+I8+J8+K8+L8+M8+N8+O8+P8+Q8+R8+S8</f>
        <v>3600586137</v>
      </c>
    </row>
    <row r="9" spans="1:20" x14ac:dyDescent="0.25">
      <c r="A9" s="105">
        <v>30501180402</v>
      </c>
      <c r="B9" s="8" t="s">
        <v>25</v>
      </c>
      <c r="C9" s="16">
        <v>320000000</v>
      </c>
      <c r="D9" s="16"/>
      <c r="E9" s="16"/>
      <c r="F9" s="16"/>
      <c r="G9" s="16">
        <f t="shared" ref="G9:G30" si="1">C9+D9-E9+F9</f>
        <v>320000000</v>
      </c>
      <c r="H9" s="13"/>
      <c r="I9" s="13"/>
      <c r="J9" s="107"/>
      <c r="K9" s="107"/>
      <c r="L9" s="107"/>
      <c r="M9" s="107">
        <v>0</v>
      </c>
      <c r="N9" s="107">
        <v>0</v>
      </c>
      <c r="O9" s="107"/>
      <c r="P9" s="107">
        <v>2737319</v>
      </c>
      <c r="Q9" s="107"/>
      <c r="R9" s="107"/>
      <c r="S9" s="107">
        <v>289769019</v>
      </c>
      <c r="T9" s="16">
        <f t="shared" ref="T9:T30" si="2">H9+I9+J9+K9+L9+M9+N9+O9+P9+Q9+R9+S9</f>
        <v>292506338</v>
      </c>
    </row>
    <row r="10" spans="1:20" x14ac:dyDescent="0.25">
      <c r="A10" s="105">
        <v>30501180403</v>
      </c>
      <c r="B10" s="8" t="s">
        <v>26</v>
      </c>
      <c r="C10" s="16">
        <v>141000000</v>
      </c>
      <c r="D10" s="16"/>
      <c r="E10" s="16"/>
      <c r="F10" s="16"/>
      <c r="G10" s="16">
        <f t="shared" si="1"/>
        <v>141000000</v>
      </c>
      <c r="H10" s="13"/>
      <c r="I10" s="13"/>
      <c r="J10" s="107">
        <v>2332299</v>
      </c>
      <c r="K10" s="107">
        <v>13842783</v>
      </c>
      <c r="L10" s="107">
        <v>12005182</v>
      </c>
      <c r="M10" s="107">
        <v>19092505</v>
      </c>
      <c r="N10" s="107">
        <v>8324167</v>
      </c>
      <c r="O10" s="107"/>
      <c r="P10" s="107">
        <v>7350808</v>
      </c>
      <c r="Q10" s="107"/>
      <c r="R10" s="107">
        <v>2267380</v>
      </c>
      <c r="S10" s="107"/>
      <c r="T10" s="16">
        <f t="shared" si="2"/>
        <v>65215124</v>
      </c>
    </row>
    <row r="11" spans="1:20" x14ac:dyDescent="0.25">
      <c r="A11" s="105">
        <v>30501180404</v>
      </c>
      <c r="B11" s="8" t="s">
        <v>27</v>
      </c>
      <c r="C11" s="16">
        <v>10000000</v>
      </c>
      <c r="D11" s="16"/>
      <c r="E11" s="106">
        <v>8000000</v>
      </c>
      <c r="F11" s="16"/>
      <c r="G11" s="16">
        <f t="shared" si="1"/>
        <v>2000000</v>
      </c>
      <c r="H11" s="13"/>
      <c r="I11" s="13"/>
      <c r="J11" s="107"/>
      <c r="K11" s="107"/>
      <c r="L11" s="107">
        <v>1659814</v>
      </c>
      <c r="M11" s="107">
        <v>0</v>
      </c>
      <c r="N11" s="107"/>
      <c r="O11" s="107"/>
      <c r="P11" s="107"/>
      <c r="Q11" s="107"/>
      <c r="R11" s="107"/>
      <c r="S11" s="107"/>
      <c r="T11" s="16">
        <f t="shared" si="2"/>
        <v>1659814</v>
      </c>
    </row>
    <row r="12" spans="1:20" x14ac:dyDescent="0.25">
      <c r="A12" s="105">
        <v>30501180405</v>
      </c>
      <c r="B12" s="8" t="s">
        <v>28</v>
      </c>
      <c r="C12" s="16">
        <v>3000000</v>
      </c>
      <c r="D12" s="16"/>
      <c r="E12" s="16"/>
      <c r="F12" s="16"/>
      <c r="G12" s="16">
        <f t="shared" si="1"/>
        <v>3000000</v>
      </c>
      <c r="H12" s="13"/>
      <c r="I12" s="13">
        <v>342702</v>
      </c>
      <c r="J12" s="107">
        <v>352844</v>
      </c>
      <c r="K12" s="107">
        <v>120555</v>
      </c>
      <c r="L12" s="107">
        <v>176422</v>
      </c>
      <c r="M12" s="107">
        <v>176422</v>
      </c>
      <c r="N12" s="107">
        <v>176422</v>
      </c>
      <c r="O12" s="107">
        <v>176422</v>
      </c>
      <c r="P12" s="107">
        <v>176422</v>
      </c>
      <c r="Q12" s="107">
        <v>120555</v>
      </c>
      <c r="R12" s="107">
        <v>88211</v>
      </c>
      <c r="S12" s="107"/>
      <c r="T12" s="16">
        <f t="shared" si="2"/>
        <v>1906977</v>
      </c>
    </row>
    <row r="13" spans="1:20" x14ac:dyDescent="0.25">
      <c r="A13" s="105">
        <v>30501180406</v>
      </c>
      <c r="B13" s="8" t="s">
        <v>29</v>
      </c>
      <c r="C13" s="16">
        <v>27000000</v>
      </c>
      <c r="D13" s="16"/>
      <c r="E13" s="16"/>
      <c r="F13" s="16"/>
      <c r="G13" s="16">
        <f t="shared" si="1"/>
        <v>27000000</v>
      </c>
      <c r="H13" s="13"/>
      <c r="I13" s="13"/>
      <c r="J13" s="107"/>
      <c r="K13" s="107"/>
      <c r="L13" s="107"/>
      <c r="M13" s="107">
        <v>0</v>
      </c>
      <c r="N13" s="107"/>
      <c r="O13" s="107"/>
      <c r="P13" s="107"/>
      <c r="Q13" s="107"/>
      <c r="R13" s="107"/>
      <c r="S13" s="107"/>
      <c r="T13" s="16">
        <f t="shared" si="2"/>
        <v>0</v>
      </c>
    </row>
    <row r="14" spans="1:20" x14ac:dyDescent="0.25">
      <c r="A14" s="105">
        <v>30501180407</v>
      </c>
      <c r="B14" s="8" t="s">
        <v>30</v>
      </c>
      <c r="C14" s="16">
        <v>1000000</v>
      </c>
      <c r="D14" s="16"/>
      <c r="E14" s="16"/>
      <c r="F14" s="16"/>
      <c r="G14" s="16">
        <f t="shared" si="1"/>
        <v>1000000</v>
      </c>
      <c r="H14" s="13"/>
      <c r="I14" s="13"/>
      <c r="J14" s="107"/>
      <c r="K14" s="107"/>
      <c r="L14" s="107"/>
      <c r="M14" s="107">
        <v>0</v>
      </c>
      <c r="N14" s="107"/>
      <c r="O14" s="107"/>
      <c r="P14" s="107"/>
      <c r="Q14" s="107"/>
      <c r="R14" s="107"/>
      <c r="S14" s="107"/>
      <c r="T14" s="16">
        <f t="shared" si="2"/>
        <v>0</v>
      </c>
    </row>
    <row r="15" spans="1:20" x14ac:dyDescent="0.25">
      <c r="A15" s="105">
        <v>30501180408</v>
      </c>
      <c r="B15" s="8" t="s">
        <v>31</v>
      </c>
      <c r="C15" s="16">
        <v>400000000</v>
      </c>
      <c r="D15" s="106">
        <v>55000000</v>
      </c>
      <c r="E15" s="16"/>
      <c r="F15" s="16"/>
      <c r="G15" s="16">
        <f t="shared" si="1"/>
        <v>455000000</v>
      </c>
      <c r="H15" s="13"/>
      <c r="I15" s="13">
        <v>75190222</v>
      </c>
      <c r="J15" s="107">
        <v>72208707</v>
      </c>
      <c r="K15" s="107">
        <v>29235722</v>
      </c>
      <c r="L15" s="107">
        <v>35376327</v>
      </c>
      <c r="M15" s="107">
        <v>34092843</v>
      </c>
      <c r="N15" s="107">
        <v>40043680</v>
      </c>
      <c r="O15" s="107">
        <v>35270234</v>
      </c>
      <c r="P15" s="107">
        <v>29245343</v>
      </c>
      <c r="Q15" s="107">
        <v>28814588</v>
      </c>
      <c r="R15" s="107">
        <v>33061438</v>
      </c>
      <c r="S15" s="107">
        <v>41351120</v>
      </c>
      <c r="T15" s="16">
        <f t="shared" si="2"/>
        <v>453890224</v>
      </c>
    </row>
    <row r="16" spans="1:20" x14ac:dyDescent="0.25">
      <c r="A16" s="105">
        <v>30501180409</v>
      </c>
      <c r="B16" s="8" t="s">
        <v>32</v>
      </c>
      <c r="C16" s="16">
        <v>140000000</v>
      </c>
      <c r="D16" s="109">
        <v>5000000</v>
      </c>
      <c r="E16" s="16"/>
      <c r="F16" s="16"/>
      <c r="G16" s="16">
        <f t="shared" si="1"/>
        <v>145000000</v>
      </c>
      <c r="H16" s="13"/>
      <c r="I16" s="13"/>
      <c r="J16" s="107">
        <v>0</v>
      </c>
      <c r="K16" s="107"/>
      <c r="L16" s="107"/>
      <c r="M16" s="107">
        <v>0</v>
      </c>
      <c r="N16" s="107">
        <v>144452677</v>
      </c>
      <c r="O16" s="107"/>
      <c r="P16" s="107"/>
      <c r="Q16" s="107"/>
      <c r="R16" s="107"/>
      <c r="S16" s="107"/>
      <c r="T16" s="16">
        <f t="shared" si="2"/>
        <v>144452677</v>
      </c>
    </row>
    <row r="17" spans="1:20" x14ac:dyDescent="0.25">
      <c r="A17" s="105">
        <v>30501180410</v>
      </c>
      <c r="B17" s="8" t="s">
        <v>33</v>
      </c>
      <c r="C17" s="16">
        <v>90000000</v>
      </c>
      <c r="D17" s="106">
        <v>15800000</v>
      </c>
      <c r="E17" s="16"/>
      <c r="F17" s="16"/>
      <c r="G17" s="16">
        <f t="shared" si="1"/>
        <v>105800000</v>
      </c>
      <c r="H17" s="13"/>
      <c r="I17" s="13">
        <v>24331475</v>
      </c>
      <c r="J17" s="107">
        <v>13150723</v>
      </c>
      <c r="K17" s="107">
        <v>6723274</v>
      </c>
      <c r="L17" s="107">
        <v>3725216</v>
      </c>
      <c r="M17" s="107">
        <v>6765830</v>
      </c>
      <c r="N17" s="107">
        <v>2860364</v>
      </c>
      <c r="O17" s="107">
        <v>13890918</v>
      </c>
      <c r="P17" s="107">
        <v>5885826</v>
      </c>
      <c r="Q17" s="107">
        <v>7300946</v>
      </c>
      <c r="R17" s="107">
        <v>3506125</v>
      </c>
      <c r="S17" s="107">
        <v>16792893</v>
      </c>
      <c r="T17" s="16">
        <f t="shared" si="2"/>
        <v>104933590</v>
      </c>
    </row>
    <row r="18" spans="1:20" x14ac:dyDescent="0.25">
      <c r="A18" s="105">
        <v>30501180411</v>
      </c>
      <c r="B18" s="8" t="s">
        <v>34</v>
      </c>
      <c r="C18" s="16">
        <v>22000000</v>
      </c>
      <c r="D18" s="16"/>
      <c r="E18" s="16"/>
      <c r="F18" s="16"/>
      <c r="G18" s="16">
        <f t="shared" si="1"/>
        <v>22000000</v>
      </c>
      <c r="H18" s="13"/>
      <c r="I18" s="13"/>
      <c r="J18" s="107">
        <v>292298</v>
      </c>
      <c r="K18" s="107">
        <v>2425614</v>
      </c>
      <c r="L18" s="107">
        <v>1493225</v>
      </c>
      <c r="M18" s="107">
        <v>2374703</v>
      </c>
      <c r="N18" s="107">
        <v>1035348</v>
      </c>
      <c r="O18" s="107"/>
      <c r="P18" s="107">
        <v>577551</v>
      </c>
      <c r="Q18" s="107"/>
      <c r="R18" s="107">
        <v>281354</v>
      </c>
      <c r="S18" s="107"/>
      <c r="T18" s="16">
        <f t="shared" si="2"/>
        <v>8480093</v>
      </c>
    </row>
    <row r="19" spans="1:20" ht="16.5" x14ac:dyDescent="0.3">
      <c r="A19" s="101">
        <v>30501181</v>
      </c>
      <c r="B19" s="102" t="s">
        <v>35</v>
      </c>
      <c r="C19" s="103">
        <f t="shared" ref="C19:T19" si="3">SUM(C20:C23)</f>
        <v>1301000000</v>
      </c>
      <c r="D19" s="103">
        <f t="shared" si="3"/>
        <v>0</v>
      </c>
      <c r="E19" s="103">
        <f t="shared" si="3"/>
        <v>590500000</v>
      </c>
      <c r="F19" s="103">
        <f t="shared" si="3"/>
        <v>0</v>
      </c>
      <c r="G19" s="11">
        <f t="shared" si="3"/>
        <v>710500000</v>
      </c>
      <c r="H19" s="11">
        <f t="shared" si="3"/>
        <v>267271562</v>
      </c>
      <c r="I19" s="11">
        <f t="shared" si="3"/>
        <v>31633924</v>
      </c>
      <c r="J19" s="11">
        <f t="shared" si="3"/>
        <v>12527423</v>
      </c>
      <c r="K19" s="11">
        <f t="shared" si="3"/>
        <v>5507802</v>
      </c>
      <c r="L19" s="11">
        <f t="shared" si="3"/>
        <v>46507802</v>
      </c>
      <c r="M19" s="11">
        <f t="shared" si="3"/>
        <v>5941541</v>
      </c>
      <c r="N19" s="11">
        <f t="shared" si="3"/>
        <v>22248250</v>
      </c>
      <c r="O19" s="11">
        <f t="shared" si="3"/>
        <v>12223494</v>
      </c>
      <c r="P19" s="11">
        <f t="shared" si="3"/>
        <v>5934835</v>
      </c>
      <c r="Q19" s="11">
        <f t="shared" si="3"/>
        <v>8706475</v>
      </c>
      <c r="R19" s="11">
        <f t="shared" si="3"/>
        <v>3198162</v>
      </c>
      <c r="S19" s="11">
        <f t="shared" si="3"/>
        <v>12192151</v>
      </c>
      <c r="T19" s="11">
        <f t="shared" si="3"/>
        <v>433893421</v>
      </c>
    </row>
    <row r="20" spans="1:20" x14ac:dyDescent="0.25">
      <c r="A20" s="105">
        <v>30501181412</v>
      </c>
      <c r="B20" s="8" t="s">
        <v>36</v>
      </c>
      <c r="C20" s="16">
        <v>550000000</v>
      </c>
      <c r="D20" s="16"/>
      <c r="E20" s="110">
        <v>21500000</v>
      </c>
      <c r="F20" s="16"/>
      <c r="G20" s="16">
        <f t="shared" si="1"/>
        <v>528500000</v>
      </c>
      <c r="H20" s="13">
        <v>248244260</v>
      </c>
      <c r="I20" s="13"/>
      <c r="L20" s="108">
        <v>41000000</v>
      </c>
      <c r="M20" s="108">
        <v>0</v>
      </c>
      <c r="N20" s="108">
        <v>16200000</v>
      </c>
      <c r="O20" s="108">
        <v>6300000</v>
      </c>
      <c r="P20" s="108"/>
      <c r="Q20" s="108"/>
      <c r="R20" s="108"/>
      <c r="S20" s="108"/>
      <c r="T20" s="16">
        <f t="shared" si="2"/>
        <v>311744260</v>
      </c>
    </row>
    <row r="21" spans="1:20" x14ac:dyDescent="0.25">
      <c r="A21" s="105">
        <v>30501181413</v>
      </c>
      <c r="B21" s="10" t="s">
        <v>37</v>
      </c>
      <c r="C21" s="16">
        <v>200000000</v>
      </c>
      <c r="D21" s="16"/>
      <c r="E21" s="106">
        <v>60000000</v>
      </c>
      <c r="F21" s="16"/>
      <c r="G21" s="16">
        <f t="shared" si="1"/>
        <v>140000000</v>
      </c>
      <c r="H21" s="13">
        <v>19027302</v>
      </c>
      <c r="I21" s="13">
        <v>31633924</v>
      </c>
      <c r="J21" s="111">
        <v>12527423</v>
      </c>
      <c r="K21" s="111">
        <v>5507802</v>
      </c>
      <c r="L21" s="111">
        <v>5507802</v>
      </c>
      <c r="M21" s="111">
        <v>5941541</v>
      </c>
      <c r="N21" s="111">
        <v>6048250</v>
      </c>
      <c r="O21" s="111">
        <v>5923494</v>
      </c>
      <c r="P21" s="111">
        <v>5934835</v>
      </c>
      <c r="Q21" s="111">
        <v>8706475</v>
      </c>
      <c r="R21" s="111">
        <v>3198162</v>
      </c>
      <c r="S21" s="111">
        <v>12192151</v>
      </c>
      <c r="T21" s="16">
        <f t="shared" si="2"/>
        <v>122149161</v>
      </c>
    </row>
    <row r="22" spans="1:20" x14ac:dyDescent="0.25">
      <c r="A22" s="105">
        <v>30501181414</v>
      </c>
      <c r="B22" s="8" t="s">
        <v>38</v>
      </c>
      <c r="C22" s="16">
        <v>550000000</v>
      </c>
      <c r="D22" s="16"/>
      <c r="E22" s="106">
        <v>509000000</v>
      </c>
      <c r="F22" s="16"/>
      <c r="G22" s="16">
        <f t="shared" si="1"/>
        <v>41000000</v>
      </c>
      <c r="H22" s="13"/>
      <c r="I22" s="13"/>
      <c r="J22" s="111"/>
      <c r="K22" s="111"/>
      <c r="L22" s="111"/>
      <c r="M22" s="111">
        <v>0</v>
      </c>
      <c r="N22" s="111"/>
      <c r="O22" s="111"/>
      <c r="P22" s="111"/>
      <c r="Q22" s="111"/>
      <c r="R22" s="111"/>
      <c r="S22" s="111"/>
      <c r="T22" s="16">
        <f t="shared" si="2"/>
        <v>0</v>
      </c>
    </row>
    <row r="23" spans="1:20" x14ac:dyDescent="0.25">
      <c r="A23" s="105">
        <v>30501181415</v>
      </c>
      <c r="B23" s="8" t="s">
        <v>39</v>
      </c>
      <c r="C23" s="16">
        <v>1000000</v>
      </c>
      <c r="D23" s="16"/>
      <c r="E23" s="16"/>
      <c r="F23" s="16"/>
      <c r="G23" s="16">
        <f t="shared" si="1"/>
        <v>1000000</v>
      </c>
      <c r="H23" s="13"/>
      <c r="I23" s="13"/>
      <c r="J23" s="111"/>
      <c r="K23" s="111"/>
      <c r="L23" s="111"/>
      <c r="M23" s="111">
        <v>0</v>
      </c>
      <c r="N23" s="111"/>
      <c r="O23" s="111"/>
      <c r="P23" s="111"/>
      <c r="Q23" s="111"/>
      <c r="R23" s="111"/>
      <c r="S23" s="111"/>
      <c r="T23" s="16">
        <f t="shared" si="2"/>
        <v>0</v>
      </c>
    </row>
    <row r="24" spans="1:20" ht="16.5" x14ac:dyDescent="0.3">
      <c r="A24" s="101">
        <v>30501182</v>
      </c>
      <c r="B24" s="102" t="s">
        <v>40</v>
      </c>
      <c r="C24" s="112">
        <f>SUM(C25:C30)</f>
        <v>1120000000</v>
      </c>
      <c r="D24" s="112">
        <f>SUM(D25:D30)</f>
        <v>177000000</v>
      </c>
      <c r="E24" s="112">
        <f>SUM(E25:E30)</f>
        <v>77000000</v>
      </c>
      <c r="F24" s="11">
        <f t="shared" ref="F24:G24" si="4">SUM(F25:F30)</f>
        <v>0</v>
      </c>
      <c r="G24" s="11">
        <f t="shared" si="4"/>
        <v>1220000000</v>
      </c>
      <c r="H24" s="11">
        <f>SUM(H25:H30)</f>
        <v>81361020</v>
      </c>
      <c r="I24" s="11">
        <f t="shared" ref="I24:T24" si="5">SUM(I25:I30)</f>
        <v>73221244</v>
      </c>
      <c r="J24" s="104">
        <f t="shared" si="5"/>
        <v>75839319</v>
      </c>
      <c r="K24" s="104">
        <f t="shared" si="5"/>
        <v>58674406</v>
      </c>
      <c r="L24" s="104">
        <f t="shared" si="5"/>
        <v>57022406</v>
      </c>
      <c r="M24" s="104">
        <f t="shared" si="5"/>
        <v>67079473</v>
      </c>
      <c r="N24" s="104">
        <f t="shared" si="5"/>
        <v>80564739</v>
      </c>
      <c r="O24" s="104">
        <f t="shared" si="5"/>
        <v>93977490</v>
      </c>
      <c r="P24" s="104">
        <f t="shared" si="5"/>
        <v>98354063</v>
      </c>
      <c r="Q24" s="104">
        <f t="shared" si="5"/>
        <v>120191468</v>
      </c>
      <c r="R24" s="104">
        <f t="shared" si="5"/>
        <v>106918546</v>
      </c>
      <c r="S24" s="104">
        <f t="shared" si="5"/>
        <v>111754678</v>
      </c>
      <c r="T24" s="104">
        <f t="shared" si="5"/>
        <v>1024958852</v>
      </c>
    </row>
    <row r="25" spans="1:20" x14ac:dyDescent="0.25">
      <c r="A25" s="105">
        <v>30501182417</v>
      </c>
      <c r="B25" s="8" t="s">
        <v>41</v>
      </c>
      <c r="C25" s="16">
        <v>120000000</v>
      </c>
      <c r="D25" s="106">
        <v>32000000</v>
      </c>
      <c r="E25" s="16"/>
      <c r="F25" s="16"/>
      <c r="G25" s="16">
        <f t="shared" si="1"/>
        <v>152000000</v>
      </c>
      <c r="H25" s="113">
        <v>9584724</v>
      </c>
      <c r="I25" s="113">
        <v>8369745</v>
      </c>
      <c r="J25" s="111">
        <v>9258746</v>
      </c>
      <c r="K25" s="111">
        <v>6528741</v>
      </c>
      <c r="L25" s="111">
        <v>6438922</v>
      </c>
      <c r="M25" s="111">
        <v>6874235</v>
      </c>
      <c r="N25" s="111">
        <v>7054986</v>
      </c>
      <c r="O25" s="111">
        <v>9758462</v>
      </c>
      <c r="P25" s="111">
        <v>9895462</v>
      </c>
      <c r="Q25" s="111">
        <v>12589745</v>
      </c>
      <c r="R25" s="111">
        <v>9876254</v>
      </c>
      <c r="S25" s="111">
        <v>9568752</v>
      </c>
      <c r="T25" s="16">
        <f t="shared" si="2"/>
        <v>105798774</v>
      </c>
    </row>
    <row r="26" spans="1:20" x14ac:dyDescent="0.25">
      <c r="A26" s="105">
        <v>30501182418</v>
      </c>
      <c r="B26" s="8" t="s">
        <v>42</v>
      </c>
      <c r="C26" s="16">
        <v>120000000</v>
      </c>
      <c r="D26" s="106">
        <v>5000000</v>
      </c>
      <c r="E26" s="16"/>
      <c r="F26" s="16"/>
      <c r="G26" s="16">
        <f t="shared" si="1"/>
        <v>125000000</v>
      </c>
      <c r="H26" s="113">
        <v>6789524</v>
      </c>
      <c r="I26" s="113">
        <v>6254329</v>
      </c>
      <c r="J26" s="111">
        <v>6347854</v>
      </c>
      <c r="K26" s="111">
        <v>4896325</v>
      </c>
      <c r="L26" s="111">
        <v>4623894</v>
      </c>
      <c r="M26" s="111">
        <v>5095836</v>
      </c>
      <c r="N26" s="111">
        <v>5489332</v>
      </c>
      <c r="O26" s="111">
        <v>7963544</v>
      </c>
      <c r="P26" s="111">
        <v>8156745</v>
      </c>
      <c r="Q26" s="111">
        <v>11897484</v>
      </c>
      <c r="R26" s="111">
        <v>8956472</v>
      </c>
      <c r="S26" s="111">
        <v>9052644</v>
      </c>
      <c r="T26" s="16">
        <f t="shared" si="2"/>
        <v>85523983</v>
      </c>
    </row>
    <row r="27" spans="1:20" x14ac:dyDescent="0.25">
      <c r="A27" s="105">
        <v>30501182419</v>
      </c>
      <c r="B27" s="8" t="s">
        <v>43</v>
      </c>
      <c r="C27" s="16">
        <v>70000000</v>
      </c>
      <c r="D27" s="16"/>
      <c r="E27" s="106">
        <v>38000000</v>
      </c>
      <c r="F27" s="16"/>
      <c r="G27" s="16">
        <f t="shared" si="1"/>
        <v>32000000</v>
      </c>
      <c r="H27" s="113">
        <v>2876952</v>
      </c>
      <c r="I27" s="113">
        <v>2258764</v>
      </c>
      <c r="J27" s="111">
        <v>2498732</v>
      </c>
      <c r="K27" s="111">
        <v>1469872</v>
      </c>
      <c r="L27" s="111">
        <v>1358926</v>
      </c>
      <c r="M27" s="111">
        <v>1789254</v>
      </c>
      <c r="N27" s="111">
        <v>2036547</v>
      </c>
      <c r="O27" s="111">
        <v>1875762</v>
      </c>
      <c r="P27" s="111">
        <v>1938746</v>
      </c>
      <c r="Q27" s="111">
        <v>2685428</v>
      </c>
      <c r="R27" s="111">
        <v>2054987</v>
      </c>
      <c r="S27" s="111">
        <v>2358964</v>
      </c>
      <c r="T27" s="16">
        <f t="shared" si="2"/>
        <v>25202934</v>
      </c>
    </row>
    <row r="28" spans="1:20" x14ac:dyDescent="0.25">
      <c r="A28" s="105">
        <v>30501182420</v>
      </c>
      <c r="B28" s="8" t="s">
        <v>44</v>
      </c>
      <c r="C28" s="16">
        <v>70000000</v>
      </c>
      <c r="D28" s="16"/>
      <c r="E28" s="106">
        <v>39000000</v>
      </c>
      <c r="F28" s="16"/>
      <c r="G28" s="16">
        <f t="shared" si="1"/>
        <v>31000000</v>
      </c>
      <c r="H28" s="113">
        <v>2876952</v>
      </c>
      <c r="I28" s="113">
        <v>2258764</v>
      </c>
      <c r="J28" s="111">
        <v>2498732</v>
      </c>
      <c r="K28" s="111">
        <v>1469872</v>
      </c>
      <c r="L28" s="111">
        <v>1358926</v>
      </c>
      <c r="M28" s="111">
        <v>1789254</v>
      </c>
      <c r="N28" s="111">
        <v>2036547</v>
      </c>
      <c r="O28" s="111">
        <v>1875762</v>
      </c>
      <c r="P28" s="111">
        <v>1938746</v>
      </c>
      <c r="Q28" s="111">
        <v>2685428</v>
      </c>
      <c r="R28" s="111">
        <v>2054987</v>
      </c>
      <c r="S28" s="111">
        <v>2358964</v>
      </c>
      <c r="T28" s="16">
        <f t="shared" si="2"/>
        <v>25202934</v>
      </c>
    </row>
    <row r="29" spans="1:20" x14ac:dyDescent="0.25">
      <c r="A29" s="105">
        <v>30501182421</v>
      </c>
      <c r="B29" s="8" t="s">
        <v>45</v>
      </c>
      <c r="C29" s="16">
        <v>40000000</v>
      </c>
      <c r="D29" s="106">
        <v>20000000</v>
      </c>
      <c r="E29" s="16"/>
      <c r="F29" s="16"/>
      <c r="G29" s="16">
        <f t="shared" si="1"/>
        <v>60000000</v>
      </c>
      <c r="H29" s="113">
        <f>H28*2</f>
        <v>5753904</v>
      </c>
      <c r="I29" s="113">
        <f>I28*2</f>
        <v>4517528</v>
      </c>
      <c r="J29" s="111">
        <v>4997464</v>
      </c>
      <c r="K29" s="111">
        <f t="shared" ref="K29:P29" si="6">K28*2</f>
        <v>2939744</v>
      </c>
      <c r="L29" s="111">
        <f t="shared" si="6"/>
        <v>2717852</v>
      </c>
      <c r="M29" s="111">
        <f t="shared" si="6"/>
        <v>3578508</v>
      </c>
      <c r="N29" s="111">
        <f t="shared" si="6"/>
        <v>4073094</v>
      </c>
      <c r="O29" s="111">
        <f t="shared" si="6"/>
        <v>3751524</v>
      </c>
      <c r="P29" s="111">
        <f t="shared" si="6"/>
        <v>3877492</v>
      </c>
      <c r="Q29" s="111">
        <f>Q28*2</f>
        <v>5370856</v>
      </c>
      <c r="R29" s="111">
        <f>R28*2</f>
        <v>4109974</v>
      </c>
      <c r="S29" s="111">
        <f>S28*2</f>
        <v>4717928</v>
      </c>
      <c r="T29" s="16">
        <f t="shared" si="2"/>
        <v>50405868</v>
      </c>
    </row>
    <row r="30" spans="1:20" x14ac:dyDescent="0.25">
      <c r="A30" s="105">
        <v>30501182422</v>
      </c>
      <c r="B30" s="8" t="s">
        <v>46</v>
      </c>
      <c r="C30" s="16">
        <v>700000000</v>
      </c>
      <c r="D30" s="106">
        <v>120000000</v>
      </c>
      <c r="E30" s="16"/>
      <c r="F30" s="16"/>
      <c r="G30" s="16">
        <f t="shared" si="1"/>
        <v>820000000</v>
      </c>
      <c r="H30" s="113">
        <v>53478964</v>
      </c>
      <c r="I30" s="113">
        <v>49562114</v>
      </c>
      <c r="J30" s="111">
        <v>50237791</v>
      </c>
      <c r="K30" s="111">
        <v>41369852</v>
      </c>
      <c r="L30" s="111">
        <v>40523886</v>
      </c>
      <c r="M30" s="111">
        <v>47952386</v>
      </c>
      <c r="N30" s="111">
        <v>59874233</v>
      </c>
      <c r="O30" s="111">
        <v>68752436</v>
      </c>
      <c r="P30" s="111">
        <v>72546872</v>
      </c>
      <c r="Q30" s="111">
        <v>84962527</v>
      </c>
      <c r="R30" s="111">
        <v>79865872</v>
      </c>
      <c r="S30" s="111">
        <v>83697426</v>
      </c>
      <c r="T30" s="16">
        <f t="shared" si="2"/>
        <v>732824359</v>
      </c>
    </row>
    <row r="31" spans="1:20" ht="18.75" x14ac:dyDescent="0.4">
      <c r="A31" s="99">
        <v>30502</v>
      </c>
      <c r="B31" s="100" t="s">
        <v>47</v>
      </c>
      <c r="C31" s="10"/>
      <c r="D31" s="10"/>
      <c r="E31" s="10"/>
      <c r="F31" s="10"/>
      <c r="G31" s="10"/>
      <c r="H31" s="13"/>
      <c r="I31" s="13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0"/>
    </row>
    <row r="32" spans="1:20" ht="16.5" x14ac:dyDescent="0.3">
      <c r="A32" s="102">
        <v>30502180</v>
      </c>
      <c r="B32" s="102" t="s">
        <v>48</v>
      </c>
      <c r="C32" s="103">
        <f t="shared" ref="C32:H32" si="7">SUM(C33:C38)</f>
        <v>761525000</v>
      </c>
      <c r="D32" s="103">
        <f t="shared" si="7"/>
        <v>0</v>
      </c>
      <c r="E32" s="103">
        <f t="shared" si="7"/>
        <v>0</v>
      </c>
      <c r="F32" s="103">
        <f t="shared" si="7"/>
        <v>0</v>
      </c>
      <c r="G32" s="11">
        <f t="shared" si="7"/>
        <v>761525000</v>
      </c>
      <c r="H32" s="11">
        <f t="shared" si="7"/>
        <v>0</v>
      </c>
      <c r="I32" s="11">
        <f>SUM(I33:I38)</f>
        <v>120000000</v>
      </c>
      <c r="J32" s="11">
        <f>SUM(J33:J38)</f>
        <v>29523093</v>
      </c>
      <c r="K32" s="11">
        <f t="shared" ref="K32:T32" si="8">SUM(K33:K38)</f>
        <v>44381033</v>
      </c>
      <c r="L32" s="11">
        <f t="shared" si="8"/>
        <v>0</v>
      </c>
      <c r="M32" s="11">
        <f t="shared" si="8"/>
        <v>0</v>
      </c>
      <c r="N32" s="11">
        <f t="shared" si="8"/>
        <v>16517316</v>
      </c>
      <c r="O32" s="11">
        <f t="shared" si="8"/>
        <v>0</v>
      </c>
      <c r="P32" s="11">
        <f t="shared" si="8"/>
        <v>0</v>
      </c>
      <c r="Q32" s="11">
        <f t="shared" si="8"/>
        <v>155176330</v>
      </c>
      <c r="R32" s="11">
        <f t="shared" si="8"/>
        <v>0</v>
      </c>
      <c r="S32" s="11"/>
      <c r="T32" s="11">
        <f t="shared" si="8"/>
        <v>365597772</v>
      </c>
    </row>
    <row r="33" spans="1:20" x14ac:dyDescent="0.25">
      <c r="A33" s="105">
        <v>30502180401</v>
      </c>
      <c r="B33" s="8" t="s">
        <v>49</v>
      </c>
      <c r="C33" s="16">
        <v>14500000</v>
      </c>
      <c r="D33" s="16"/>
      <c r="E33" s="16"/>
      <c r="F33" s="16"/>
      <c r="G33" s="16">
        <f t="shared" ref="G33:G49" si="9">C33+D33-E33+F33</f>
        <v>14500000</v>
      </c>
      <c r="H33" s="13"/>
      <c r="I33" s="13"/>
      <c r="J33" s="111"/>
      <c r="K33" s="111"/>
      <c r="L33" s="111"/>
      <c r="M33" s="111">
        <v>0</v>
      </c>
      <c r="N33" s="111"/>
      <c r="O33" s="111"/>
      <c r="P33" s="111"/>
      <c r="Q33" s="111"/>
      <c r="R33" s="111"/>
      <c r="S33" s="111"/>
      <c r="T33" s="16">
        <f t="shared" ref="T33:T49" si="10">H33+I33+J33+K33+L33+M33+N33+O33+P33+Q33+R33+S33</f>
        <v>0</v>
      </c>
    </row>
    <row r="34" spans="1:20" x14ac:dyDescent="0.25">
      <c r="A34" s="105">
        <v>30502180402</v>
      </c>
      <c r="B34" s="8" t="s">
        <v>276</v>
      </c>
      <c r="C34" s="16">
        <v>575200000</v>
      </c>
      <c r="D34" s="16"/>
      <c r="E34" s="16"/>
      <c r="F34" s="16"/>
      <c r="G34" s="16">
        <f t="shared" si="9"/>
        <v>575200000</v>
      </c>
      <c r="H34" s="13"/>
      <c r="I34" s="13"/>
      <c r="J34" s="111">
        <v>21093534</v>
      </c>
      <c r="K34" s="111">
        <v>44381033</v>
      </c>
      <c r="L34" s="111"/>
      <c r="M34" s="111">
        <v>0</v>
      </c>
      <c r="N34" s="111">
        <v>16517316</v>
      </c>
      <c r="O34" s="111"/>
      <c r="P34" s="111"/>
      <c r="Q34" s="111">
        <v>155176330</v>
      </c>
      <c r="R34" s="111"/>
      <c r="S34" s="111"/>
      <c r="T34" s="16">
        <f t="shared" si="10"/>
        <v>237168213</v>
      </c>
    </row>
    <row r="35" spans="1:20" x14ac:dyDescent="0.25">
      <c r="A35" s="105">
        <v>30502180403</v>
      </c>
      <c r="B35" s="8" t="s">
        <v>51</v>
      </c>
      <c r="C35" s="16">
        <v>140825000</v>
      </c>
      <c r="D35" s="16"/>
      <c r="E35" s="16"/>
      <c r="F35" s="16"/>
      <c r="G35" s="16">
        <f t="shared" si="9"/>
        <v>140825000</v>
      </c>
      <c r="H35" s="13"/>
      <c r="I35" s="13">
        <v>120000000</v>
      </c>
      <c r="J35" s="111"/>
      <c r="K35" s="111"/>
      <c r="L35" s="111"/>
      <c r="M35" s="111">
        <v>0</v>
      </c>
      <c r="N35" s="111"/>
      <c r="O35" s="111"/>
      <c r="P35" s="111"/>
      <c r="Q35" s="111"/>
      <c r="R35" s="111"/>
      <c r="S35" s="111"/>
      <c r="T35" s="16">
        <f t="shared" si="10"/>
        <v>120000000</v>
      </c>
    </row>
    <row r="36" spans="1:20" x14ac:dyDescent="0.25">
      <c r="A36" s="105">
        <v>30502180404</v>
      </c>
      <c r="B36" s="8" t="s">
        <v>52</v>
      </c>
      <c r="C36" s="16">
        <v>10000000</v>
      </c>
      <c r="D36" s="16"/>
      <c r="E36" s="16"/>
      <c r="F36" s="16"/>
      <c r="G36" s="16">
        <f t="shared" si="9"/>
        <v>10000000</v>
      </c>
      <c r="H36" s="13"/>
      <c r="I36" s="13"/>
      <c r="J36" s="111"/>
      <c r="K36" s="111"/>
      <c r="L36" s="111"/>
      <c r="M36" s="111">
        <v>0</v>
      </c>
      <c r="N36" s="111"/>
      <c r="O36" s="111"/>
      <c r="P36" s="111"/>
      <c r="Q36" s="111"/>
      <c r="R36" s="111"/>
      <c r="S36" s="111"/>
      <c r="T36" s="16">
        <f t="shared" si="10"/>
        <v>0</v>
      </c>
    </row>
    <row r="37" spans="1:20" x14ac:dyDescent="0.25">
      <c r="A37" s="105">
        <v>30502180405</v>
      </c>
      <c r="B37" s="8" t="s">
        <v>54</v>
      </c>
      <c r="C37" s="16">
        <v>1000000</v>
      </c>
      <c r="D37" s="16"/>
      <c r="E37" s="16"/>
      <c r="F37" s="16"/>
      <c r="G37" s="16">
        <f t="shared" si="9"/>
        <v>1000000</v>
      </c>
      <c r="H37" s="13"/>
      <c r="I37" s="13"/>
      <c r="J37" s="111"/>
      <c r="K37" s="111"/>
      <c r="L37" s="111"/>
      <c r="M37" s="111">
        <v>0</v>
      </c>
      <c r="N37" s="111"/>
      <c r="O37" s="111"/>
      <c r="P37" s="111"/>
      <c r="Q37" s="111"/>
      <c r="R37" s="111"/>
      <c r="S37" s="111"/>
      <c r="T37" s="16">
        <f t="shared" si="10"/>
        <v>0</v>
      </c>
    </row>
    <row r="38" spans="1:20" x14ac:dyDescent="0.25">
      <c r="A38" s="105">
        <v>30502180406</v>
      </c>
      <c r="B38" s="8" t="s">
        <v>55</v>
      </c>
      <c r="C38" s="16">
        <v>20000000</v>
      </c>
      <c r="D38" s="16"/>
      <c r="E38" s="16"/>
      <c r="F38" s="16"/>
      <c r="G38" s="16">
        <f t="shared" si="9"/>
        <v>20000000</v>
      </c>
      <c r="H38" s="13"/>
      <c r="I38" s="13"/>
      <c r="J38" s="111">
        <v>8429559</v>
      </c>
      <c r="K38" s="111"/>
      <c r="L38" s="111"/>
      <c r="M38" s="111">
        <v>0</v>
      </c>
      <c r="N38" s="111"/>
      <c r="O38" s="111"/>
      <c r="P38" s="111"/>
      <c r="Q38" s="111"/>
      <c r="R38" s="111"/>
      <c r="S38" s="111"/>
      <c r="T38" s="16">
        <f t="shared" si="10"/>
        <v>8429559</v>
      </c>
    </row>
    <row r="39" spans="1:20" ht="16.5" x14ac:dyDescent="0.3">
      <c r="A39" s="102">
        <v>30502181</v>
      </c>
      <c r="B39" s="102" t="s">
        <v>56</v>
      </c>
      <c r="C39" s="103">
        <f t="shared" ref="C39:T39" si="11">SUM(C40:C49)</f>
        <v>743275000</v>
      </c>
      <c r="D39" s="103">
        <f t="shared" si="11"/>
        <v>21500000</v>
      </c>
      <c r="E39" s="103">
        <f t="shared" si="11"/>
        <v>12000000</v>
      </c>
      <c r="F39" s="103">
        <f t="shared" si="11"/>
        <v>0</v>
      </c>
      <c r="G39" s="11">
        <f t="shared" si="11"/>
        <v>752775000</v>
      </c>
      <c r="H39" s="11">
        <f t="shared" si="11"/>
        <v>212475963</v>
      </c>
      <c r="I39" s="11">
        <f t="shared" si="11"/>
        <v>17589246</v>
      </c>
      <c r="J39" s="11">
        <f t="shared" si="11"/>
        <v>38367436</v>
      </c>
      <c r="K39" s="11">
        <f t="shared" si="11"/>
        <v>19289957</v>
      </c>
      <c r="L39" s="11">
        <f t="shared" si="11"/>
        <v>57466967</v>
      </c>
      <c r="M39" s="11">
        <f t="shared" si="11"/>
        <v>34606624</v>
      </c>
      <c r="N39" s="11">
        <f t="shared" si="11"/>
        <v>9696647</v>
      </c>
      <c r="O39" s="11">
        <f t="shared" si="11"/>
        <v>31963126</v>
      </c>
      <c r="P39" s="11">
        <f t="shared" si="11"/>
        <v>13924766</v>
      </c>
      <c r="Q39" s="11">
        <f t="shared" si="11"/>
        <v>9007690</v>
      </c>
      <c r="R39" s="11">
        <f t="shared" si="11"/>
        <v>11600089</v>
      </c>
      <c r="S39" s="11">
        <f t="shared" si="11"/>
        <v>3243039</v>
      </c>
      <c r="T39" s="11">
        <f t="shared" si="11"/>
        <v>459231550</v>
      </c>
    </row>
    <row r="40" spans="1:20" x14ac:dyDescent="0.25">
      <c r="A40" s="105">
        <v>30502181407</v>
      </c>
      <c r="B40" s="8" t="s">
        <v>57</v>
      </c>
      <c r="C40" s="16">
        <v>39600000</v>
      </c>
      <c r="D40" s="20"/>
      <c r="E40" s="20"/>
      <c r="F40" s="16"/>
      <c r="G40" s="16">
        <f t="shared" si="9"/>
        <v>39600000</v>
      </c>
      <c r="H40" s="13">
        <v>15642667</v>
      </c>
      <c r="I40" s="13">
        <v>642560</v>
      </c>
      <c r="J40" s="111">
        <v>18547580</v>
      </c>
      <c r="K40" s="111"/>
      <c r="L40" s="111">
        <v>1264398</v>
      </c>
      <c r="M40" s="111">
        <v>55498</v>
      </c>
      <c r="N40" s="111"/>
      <c r="O40" s="111">
        <v>642346</v>
      </c>
      <c r="P40" s="111">
        <v>642417</v>
      </c>
      <c r="Q40" s="111">
        <v>335562</v>
      </c>
      <c r="R40" s="111">
        <v>335744</v>
      </c>
      <c r="S40" s="111">
        <v>350805</v>
      </c>
      <c r="T40" s="16">
        <f t="shared" si="10"/>
        <v>38459577</v>
      </c>
    </row>
    <row r="41" spans="1:20" x14ac:dyDescent="0.25">
      <c r="A41" s="105">
        <v>30502181408</v>
      </c>
      <c r="B41" s="8" t="s">
        <v>277</v>
      </c>
      <c r="C41" s="16">
        <v>200000000</v>
      </c>
      <c r="D41" s="20"/>
      <c r="E41" s="114">
        <v>12000000</v>
      </c>
      <c r="F41" s="16"/>
      <c r="G41" s="16">
        <f t="shared" si="9"/>
        <v>188000000</v>
      </c>
      <c r="H41" s="13"/>
      <c r="I41" s="13"/>
      <c r="J41" s="111"/>
      <c r="K41" s="111"/>
      <c r="L41" s="111"/>
      <c r="M41" s="111">
        <v>20501320</v>
      </c>
      <c r="N41" s="111"/>
      <c r="O41" s="111"/>
      <c r="P41" s="111"/>
      <c r="Q41" s="111"/>
      <c r="R41" s="111"/>
      <c r="S41" s="111"/>
      <c r="T41" s="16">
        <f t="shared" si="10"/>
        <v>20501320</v>
      </c>
    </row>
    <row r="42" spans="1:20" x14ac:dyDescent="0.25">
      <c r="A42" s="105">
        <v>30502181409</v>
      </c>
      <c r="B42" s="8" t="s">
        <v>59</v>
      </c>
      <c r="C42" s="16">
        <v>50000000</v>
      </c>
      <c r="D42" s="20"/>
      <c r="E42" s="20"/>
      <c r="F42" s="16"/>
      <c r="G42" s="16">
        <f t="shared" si="9"/>
        <v>50000000</v>
      </c>
      <c r="H42" s="13">
        <v>21545154</v>
      </c>
      <c r="I42" s="13"/>
      <c r="J42" s="111"/>
      <c r="K42" s="111"/>
      <c r="L42" s="111">
        <v>23110106</v>
      </c>
      <c r="M42" s="111">
        <v>0</v>
      </c>
      <c r="N42" s="111"/>
      <c r="O42" s="111"/>
      <c r="P42" s="111"/>
      <c r="Q42" s="111"/>
      <c r="R42" s="111"/>
      <c r="S42" s="111"/>
      <c r="T42" s="16">
        <f t="shared" si="10"/>
        <v>44655260</v>
      </c>
    </row>
    <row r="43" spans="1:20" x14ac:dyDescent="0.25">
      <c r="A43" s="105">
        <v>30502181410</v>
      </c>
      <c r="B43" s="8" t="s">
        <v>60</v>
      </c>
      <c r="C43" s="16">
        <v>160000000</v>
      </c>
      <c r="D43" s="20"/>
      <c r="E43" s="20"/>
      <c r="F43" s="16"/>
      <c r="G43" s="16">
        <f t="shared" si="9"/>
        <v>160000000</v>
      </c>
      <c r="H43" s="13">
        <v>10729113</v>
      </c>
      <c r="I43" s="13">
        <v>8870991</v>
      </c>
      <c r="J43" s="111">
        <v>13024730</v>
      </c>
      <c r="K43" s="111">
        <v>10855891</v>
      </c>
      <c r="L43" s="111">
        <v>11134522</v>
      </c>
      <c r="M43" s="111">
        <v>12321756</v>
      </c>
      <c r="N43" s="111">
        <v>8851739</v>
      </c>
      <c r="O43" s="111">
        <v>4149732</v>
      </c>
      <c r="P43" s="111">
        <v>13282349</v>
      </c>
      <c r="Q43" s="111">
        <v>8333462</v>
      </c>
      <c r="R43" s="111">
        <v>8167485</v>
      </c>
      <c r="S43" s="111">
        <v>2716457</v>
      </c>
      <c r="T43" s="16">
        <f t="shared" si="10"/>
        <v>112438227</v>
      </c>
    </row>
    <row r="44" spans="1:20" x14ac:dyDescent="0.25">
      <c r="A44" s="105">
        <v>30502181411</v>
      </c>
      <c r="B44" s="8" t="s">
        <v>61</v>
      </c>
      <c r="C44" s="16">
        <v>30000000</v>
      </c>
      <c r="D44" s="20"/>
      <c r="E44" s="20"/>
      <c r="F44" s="16"/>
      <c r="G44" s="16">
        <f t="shared" si="9"/>
        <v>30000000</v>
      </c>
      <c r="H44" s="13">
        <v>918885</v>
      </c>
      <c r="I44" s="13">
        <v>2958498</v>
      </c>
      <c r="J44" s="111"/>
      <c r="K44" s="111">
        <v>299722</v>
      </c>
      <c r="L44" s="111">
        <v>957941</v>
      </c>
      <c r="M44" s="111">
        <v>1728050</v>
      </c>
      <c r="N44" s="111">
        <v>275778</v>
      </c>
      <c r="O44" s="111"/>
      <c r="P44" s="111"/>
      <c r="Q44" s="111">
        <v>338666</v>
      </c>
      <c r="R44" s="111">
        <v>3096860</v>
      </c>
      <c r="S44" s="111">
        <v>175777</v>
      </c>
      <c r="T44" s="16">
        <f t="shared" si="10"/>
        <v>10750177</v>
      </c>
    </row>
    <row r="45" spans="1:20" x14ac:dyDescent="0.25">
      <c r="A45" s="105">
        <v>30502181412</v>
      </c>
      <c r="B45" s="8" t="s">
        <v>62</v>
      </c>
      <c r="C45" s="16">
        <v>104275000</v>
      </c>
      <c r="D45" s="115">
        <v>21500000</v>
      </c>
      <c r="E45" s="20"/>
      <c r="F45" s="16"/>
      <c r="G45" s="16">
        <f t="shared" si="9"/>
        <v>125775000</v>
      </c>
      <c r="H45" s="13">
        <v>103713225</v>
      </c>
      <c r="I45" s="13"/>
      <c r="J45" s="111"/>
      <c r="K45" s="111"/>
      <c r="L45" s="111"/>
      <c r="M45" s="111">
        <v>0</v>
      </c>
      <c r="N45" s="111"/>
      <c r="O45" s="111">
        <v>20973000</v>
      </c>
      <c r="P45" s="111"/>
      <c r="Q45" s="111"/>
      <c r="R45" s="111"/>
      <c r="S45" s="111"/>
      <c r="T45" s="16">
        <f t="shared" si="10"/>
        <v>124686225</v>
      </c>
    </row>
    <row r="46" spans="1:20" x14ac:dyDescent="0.25">
      <c r="A46" s="105">
        <v>30502181413</v>
      </c>
      <c r="B46" s="8" t="s">
        <v>63</v>
      </c>
      <c r="C46" s="16">
        <v>15000000</v>
      </c>
      <c r="D46" s="20"/>
      <c r="E46" s="20"/>
      <c r="F46" s="16"/>
      <c r="G46" s="16">
        <f t="shared" si="9"/>
        <v>15000000</v>
      </c>
      <c r="H46" s="13"/>
      <c r="I46" s="13"/>
      <c r="J46" s="111"/>
      <c r="K46" s="111">
        <v>8105144</v>
      </c>
      <c r="L46" s="111"/>
      <c r="M46" s="111">
        <v>0</v>
      </c>
      <c r="N46" s="111">
        <v>569130</v>
      </c>
      <c r="O46" s="111">
        <v>5268370</v>
      </c>
      <c r="P46" s="111"/>
      <c r="Q46" s="111"/>
      <c r="R46" s="111"/>
      <c r="S46" s="111"/>
      <c r="T46" s="16">
        <f t="shared" si="10"/>
        <v>13942644</v>
      </c>
    </row>
    <row r="47" spans="1:20" x14ac:dyDescent="0.25">
      <c r="A47" s="105">
        <v>30502181414</v>
      </c>
      <c r="B47" s="8" t="s">
        <v>64</v>
      </c>
      <c r="C47" s="16">
        <v>40000000</v>
      </c>
      <c r="D47" s="20"/>
      <c r="E47" s="20"/>
      <c r="F47" s="16"/>
      <c r="G47" s="16">
        <f t="shared" si="9"/>
        <v>40000000</v>
      </c>
      <c r="H47" s="13">
        <v>5126919</v>
      </c>
      <c r="I47" s="13">
        <v>5117197</v>
      </c>
      <c r="J47" s="111">
        <f>1920000+4875126</f>
        <v>6795126</v>
      </c>
      <c r="K47" s="111"/>
      <c r="L47" s="111"/>
      <c r="M47" s="111">
        <v>0</v>
      </c>
      <c r="N47" s="111"/>
      <c r="O47" s="111"/>
      <c r="P47" s="111"/>
      <c r="Q47" s="111"/>
      <c r="R47" s="111"/>
      <c r="S47" s="111"/>
      <c r="T47" s="16">
        <f t="shared" si="10"/>
        <v>17039242</v>
      </c>
    </row>
    <row r="48" spans="1:20" x14ac:dyDescent="0.25">
      <c r="A48" s="105">
        <v>30502181415</v>
      </c>
      <c r="B48" s="10" t="s">
        <v>278</v>
      </c>
      <c r="C48" s="16">
        <v>103400000</v>
      </c>
      <c r="D48" s="20"/>
      <c r="E48" s="20"/>
      <c r="F48" s="16"/>
      <c r="G48" s="16">
        <f t="shared" si="9"/>
        <v>103400000</v>
      </c>
      <c r="H48" s="13">
        <v>54800000</v>
      </c>
      <c r="I48" s="13"/>
      <c r="J48" s="111"/>
      <c r="K48" s="111"/>
      <c r="L48" s="111">
        <v>21000000</v>
      </c>
      <c r="M48" s="111">
        <v>0</v>
      </c>
      <c r="N48" s="111"/>
      <c r="O48" s="111"/>
      <c r="P48" s="111"/>
      <c r="Q48" s="111"/>
      <c r="R48" s="111"/>
      <c r="S48" s="111"/>
      <c r="T48" s="16">
        <f t="shared" si="10"/>
        <v>75800000</v>
      </c>
    </row>
    <row r="49" spans="1:20" x14ac:dyDescent="0.25">
      <c r="A49" s="105">
        <v>30502181416</v>
      </c>
      <c r="B49" s="8" t="s">
        <v>65</v>
      </c>
      <c r="C49" s="16">
        <v>1000000</v>
      </c>
      <c r="D49" s="20"/>
      <c r="E49" s="20"/>
      <c r="F49" s="16"/>
      <c r="G49" s="16">
        <f t="shared" si="9"/>
        <v>1000000</v>
      </c>
      <c r="H49" s="13"/>
      <c r="I49" s="13"/>
      <c r="J49" s="111"/>
      <c r="K49" s="111">
        <v>29200</v>
      </c>
      <c r="L49" s="111"/>
      <c r="M49" s="111">
        <v>0</v>
      </c>
      <c r="N49" s="111"/>
      <c r="O49" s="111">
        <v>929678</v>
      </c>
      <c r="P49" s="111"/>
      <c r="Q49" s="111"/>
      <c r="R49" s="111"/>
      <c r="S49" s="111"/>
      <c r="T49" s="16">
        <f t="shared" si="10"/>
        <v>958878</v>
      </c>
    </row>
    <row r="50" spans="1:20" ht="18.75" x14ac:dyDescent="0.4">
      <c r="A50" s="99">
        <v>30503</v>
      </c>
      <c r="B50" s="100" t="s">
        <v>66</v>
      </c>
      <c r="C50" s="20"/>
      <c r="D50" s="20"/>
      <c r="E50" s="20"/>
      <c r="F50" s="10"/>
      <c r="G50" s="10"/>
      <c r="H50" s="10"/>
      <c r="I50" s="10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0"/>
    </row>
    <row r="51" spans="1:20" x14ac:dyDescent="0.25">
      <c r="A51" s="116">
        <v>30503180</v>
      </c>
      <c r="B51" s="116" t="s">
        <v>67</v>
      </c>
      <c r="C51" s="11">
        <f t="shared" ref="C51:G51" si="12">SUM(C52:C55)</f>
        <v>625500000</v>
      </c>
      <c r="D51" s="11">
        <f t="shared" si="12"/>
        <v>0</v>
      </c>
      <c r="E51" s="11">
        <f t="shared" si="12"/>
        <v>33800000</v>
      </c>
      <c r="F51" s="11">
        <f t="shared" si="12"/>
        <v>0</v>
      </c>
      <c r="G51" s="11">
        <f t="shared" si="12"/>
        <v>591700000</v>
      </c>
      <c r="H51" s="11">
        <f>SUM(H52:H55)</f>
        <v>5730152</v>
      </c>
      <c r="I51" s="11">
        <f t="shared" ref="I51:T51" si="13">SUM(I52:I55)</f>
        <v>337815102</v>
      </c>
      <c r="J51" s="104">
        <f t="shared" si="13"/>
        <v>5730152</v>
      </c>
      <c r="K51" s="104">
        <f t="shared" si="13"/>
        <v>0</v>
      </c>
      <c r="L51" s="104">
        <f t="shared" si="13"/>
        <v>29000000</v>
      </c>
      <c r="M51" s="104">
        <f t="shared" si="13"/>
        <v>31904222</v>
      </c>
      <c r="N51" s="104">
        <f t="shared" si="13"/>
        <v>11730152</v>
      </c>
      <c r="O51" s="104">
        <f t="shared" si="13"/>
        <v>0</v>
      </c>
      <c r="P51" s="104">
        <f t="shared" si="13"/>
        <v>5918262</v>
      </c>
      <c r="Q51" s="104">
        <f t="shared" si="13"/>
        <v>5730152</v>
      </c>
      <c r="R51" s="104">
        <f t="shared" si="13"/>
        <v>63244400</v>
      </c>
      <c r="S51" s="104">
        <f t="shared" si="13"/>
        <v>12496254</v>
      </c>
      <c r="T51" s="104">
        <f t="shared" si="13"/>
        <v>509298848</v>
      </c>
    </row>
    <row r="52" spans="1:20" x14ac:dyDescent="0.25">
      <c r="A52" s="105">
        <v>30503180401</v>
      </c>
      <c r="B52" s="8" t="s">
        <v>68</v>
      </c>
      <c r="C52" s="16">
        <v>100000000</v>
      </c>
      <c r="D52" s="20"/>
      <c r="E52" s="117">
        <v>12000000</v>
      </c>
      <c r="F52" s="16"/>
      <c r="G52" s="16">
        <f t="shared" ref="G52:G60" si="14">C52+D52-E52+F52</f>
        <v>88000000</v>
      </c>
      <c r="H52" s="13">
        <v>5730152</v>
      </c>
      <c r="I52" s="13">
        <v>5730152</v>
      </c>
      <c r="J52" s="111">
        <v>5730152</v>
      </c>
      <c r="K52" s="111"/>
      <c r="L52" s="111"/>
      <c r="M52" s="111">
        <v>11460304</v>
      </c>
      <c r="N52" s="111">
        <v>5730152</v>
      </c>
      <c r="O52" s="111"/>
      <c r="P52" s="111">
        <v>2482548</v>
      </c>
      <c r="Q52" s="111">
        <v>5730152</v>
      </c>
      <c r="R52" s="111"/>
      <c r="S52" s="111">
        <v>5730152</v>
      </c>
      <c r="T52" s="16">
        <f t="shared" ref="T52:T60" si="15">H52+I52+J52+K52+L52+M52+N52+O52+P52+Q52+R52+S52</f>
        <v>48323764</v>
      </c>
    </row>
    <row r="53" spans="1:20" x14ac:dyDescent="0.25">
      <c r="A53" s="105">
        <v>30503180402</v>
      </c>
      <c r="B53" s="8" t="s">
        <v>69</v>
      </c>
      <c r="C53" s="16">
        <v>1000000</v>
      </c>
      <c r="D53" s="20"/>
      <c r="E53" s="20"/>
      <c r="F53" s="16"/>
      <c r="G53" s="16">
        <f t="shared" si="14"/>
        <v>1000000</v>
      </c>
      <c r="H53" s="13"/>
      <c r="I53" s="13"/>
      <c r="J53" s="111"/>
      <c r="K53" s="111"/>
      <c r="L53" s="111"/>
      <c r="M53" s="111">
        <v>0</v>
      </c>
      <c r="N53" s="111"/>
      <c r="O53" s="111"/>
      <c r="P53" s="111"/>
      <c r="Q53" s="111"/>
      <c r="R53" s="111"/>
      <c r="S53" s="111"/>
      <c r="T53" s="16">
        <f t="shared" si="15"/>
        <v>0</v>
      </c>
    </row>
    <row r="54" spans="1:20" x14ac:dyDescent="0.25">
      <c r="A54" s="105">
        <v>30503180403</v>
      </c>
      <c r="B54" s="8" t="s">
        <v>70</v>
      </c>
      <c r="C54" s="16">
        <v>500000000</v>
      </c>
      <c r="D54" s="20"/>
      <c r="E54" s="117">
        <v>21800000</v>
      </c>
      <c r="F54" s="16"/>
      <c r="G54" s="16">
        <f t="shared" si="14"/>
        <v>478200000</v>
      </c>
      <c r="H54" s="13"/>
      <c r="I54" s="13">
        <v>332084950</v>
      </c>
      <c r="J54" s="111"/>
      <c r="K54" s="111"/>
      <c r="L54" s="111">
        <v>29000000</v>
      </c>
      <c r="M54" s="111">
        <v>20443918</v>
      </c>
      <c r="N54" s="111">
        <v>6000000</v>
      </c>
      <c r="O54" s="111"/>
      <c r="P54" s="111">
        <v>3215957</v>
      </c>
      <c r="Q54" s="111"/>
      <c r="R54" s="111">
        <v>63244400</v>
      </c>
      <c r="S54" s="111">
        <v>6766102</v>
      </c>
      <c r="T54" s="16">
        <f t="shared" si="15"/>
        <v>460755327</v>
      </c>
    </row>
    <row r="55" spans="1:20" x14ac:dyDescent="0.25">
      <c r="A55" s="105">
        <v>30503180404</v>
      </c>
      <c r="B55" s="8" t="s">
        <v>71</v>
      </c>
      <c r="C55" s="16">
        <v>24500000</v>
      </c>
      <c r="D55" s="20"/>
      <c r="E55" s="20"/>
      <c r="F55" s="16"/>
      <c r="G55" s="16">
        <f t="shared" si="14"/>
        <v>24500000</v>
      </c>
      <c r="H55" s="13"/>
      <c r="I55" s="13"/>
      <c r="J55" s="111"/>
      <c r="K55" s="111"/>
      <c r="L55" s="111"/>
      <c r="M55" s="111">
        <v>0</v>
      </c>
      <c r="N55" s="111"/>
      <c r="O55" s="111"/>
      <c r="P55" s="111">
        <v>219757</v>
      </c>
      <c r="Q55" s="111"/>
      <c r="R55" s="111"/>
      <c r="S55" s="111"/>
      <c r="T55" s="16">
        <f t="shared" si="15"/>
        <v>219757</v>
      </c>
    </row>
    <row r="56" spans="1:20" x14ac:dyDescent="0.25">
      <c r="A56" s="116">
        <v>30503181</v>
      </c>
      <c r="B56" s="116" t="s">
        <v>72</v>
      </c>
      <c r="C56" s="118">
        <f>SUM(C57:C60)</f>
        <v>326700000</v>
      </c>
      <c r="D56" s="118">
        <f t="shared" ref="D56:E56" si="16">SUM(D57:D60)</f>
        <v>0</v>
      </c>
      <c r="E56" s="118">
        <f t="shared" si="16"/>
        <v>5000000</v>
      </c>
      <c r="F56" s="20">
        <f t="shared" ref="F56" si="17">SUM(F57:F59)</f>
        <v>0</v>
      </c>
      <c r="G56" s="11">
        <f>G57+G58+G59+G60</f>
        <v>321700000</v>
      </c>
      <c r="H56" s="23">
        <f>SUM(H57:H60)</f>
        <v>16000000</v>
      </c>
      <c r="I56" s="23">
        <f t="shared" ref="I56:T56" si="18">SUM(I57:I60)</f>
        <v>0</v>
      </c>
      <c r="J56" s="23">
        <f t="shared" si="18"/>
        <v>42998353</v>
      </c>
      <c r="K56" s="23">
        <f t="shared" si="18"/>
        <v>13746567</v>
      </c>
      <c r="L56" s="23">
        <f t="shared" si="18"/>
        <v>7750393</v>
      </c>
      <c r="M56" s="23">
        <f t="shared" si="18"/>
        <v>11935464</v>
      </c>
      <c r="N56" s="23">
        <f t="shared" si="18"/>
        <v>5967507</v>
      </c>
      <c r="O56" s="23">
        <f t="shared" si="18"/>
        <v>14302609</v>
      </c>
      <c r="P56" s="23">
        <f t="shared" si="18"/>
        <v>13322240</v>
      </c>
      <c r="Q56" s="23">
        <f t="shared" si="18"/>
        <v>6927012</v>
      </c>
      <c r="R56" s="23">
        <f t="shared" si="18"/>
        <v>0</v>
      </c>
      <c r="S56" s="23">
        <f t="shared" si="18"/>
        <v>2682264</v>
      </c>
      <c r="T56" s="23">
        <f t="shared" si="18"/>
        <v>135632409</v>
      </c>
    </row>
    <row r="57" spans="1:20" x14ac:dyDescent="0.25">
      <c r="A57" s="105">
        <v>30503181405</v>
      </c>
      <c r="B57" s="8" t="s">
        <v>73</v>
      </c>
      <c r="C57" s="16">
        <v>30000000</v>
      </c>
      <c r="D57" s="20"/>
      <c r="E57" s="20"/>
      <c r="F57" s="16"/>
      <c r="G57" s="16">
        <f t="shared" si="14"/>
        <v>30000000</v>
      </c>
      <c r="H57" s="13"/>
      <c r="I57" s="13"/>
      <c r="J57" s="111">
        <v>13200000</v>
      </c>
      <c r="K57" s="111"/>
      <c r="L57" s="111"/>
      <c r="M57" s="111">
        <v>0</v>
      </c>
      <c r="N57" s="111"/>
      <c r="O57" s="111"/>
      <c r="P57" s="111">
        <v>5340000</v>
      </c>
      <c r="Q57" s="111"/>
      <c r="R57" s="111"/>
      <c r="S57" s="111"/>
      <c r="T57" s="16">
        <f t="shared" si="15"/>
        <v>18540000</v>
      </c>
    </row>
    <row r="58" spans="1:20" x14ac:dyDescent="0.25">
      <c r="A58" s="105">
        <v>30503181406</v>
      </c>
      <c r="B58" s="8" t="s">
        <v>74</v>
      </c>
      <c r="C58" s="16">
        <v>80000000</v>
      </c>
      <c r="D58" s="20"/>
      <c r="E58" s="20"/>
      <c r="F58" s="16"/>
      <c r="G58" s="16">
        <f t="shared" si="14"/>
        <v>80000000</v>
      </c>
      <c r="H58" s="13"/>
      <c r="I58" s="13"/>
      <c r="J58" s="111"/>
      <c r="K58" s="111">
        <v>5000000</v>
      </c>
      <c r="L58" s="111"/>
      <c r="M58" s="111">
        <v>0</v>
      </c>
      <c r="N58" s="111"/>
      <c r="O58" s="111"/>
      <c r="P58" s="111"/>
      <c r="Q58" s="111"/>
      <c r="R58" s="111"/>
      <c r="S58" s="111"/>
      <c r="T58" s="16">
        <f t="shared" si="15"/>
        <v>5000000</v>
      </c>
    </row>
    <row r="59" spans="1:20" x14ac:dyDescent="0.25">
      <c r="A59" s="105">
        <v>30503181407</v>
      </c>
      <c r="B59" s="8" t="s">
        <v>75</v>
      </c>
      <c r="C59" s="16">
        <v>165000000</v>
      </c>
      <c r="E59" s="119">
        <v>5000000</v>
      </c>
      <c r="F59" s="16"/>
      <c r="G59" s="16">
        <f t="shared" si="14"/>
        <v>160000000</v>
      </c>
      <c r="H59" s="13"/>
      <c r="I59" s="13"/>
      <c r="J59" s="111">
        <v>29798353</v>
      </c>
      <c r="K59" s="111">
        <v>8746567</v>
      </c>
      <c r="L59" s="111">
        <v>7750393</v>
      </c>
      <c r="M59" s="111">
        <v>11935464</v>
      </c>
      <c r="N59" s="111">
        <v>5967507</v>
      </c>
      <c r="O59" s="111">
        <f>14182269+120340</f>
        <v>14302609</v>
      </c>
      <c r="P59" s="111">
        <v>7982240</v>
      </c>
      <c r="Q59" s="111">
        <v>6927012</v>
      </c>
      <c r="R59" s="111"/>
      <c r="S59" s="111">
        <v>2682264</v>
      </c>
      <c r="T59" s="16">
        <f t="shared" si="15"/>
        <v>96092409</v>
      </c>
    </row>
    <row r="60" spans="1:20" x14ac:dyDescent="0.25">
      <c r="A60" s="105">
        <v>30503181408</v>
      </c>
      <c r="B60" s="8" t="s">
        <v>305</v>
      </c>
      <c r="C60" s="16">
        <v>51700000</v>
      </c>
      <c r="D60" s="20"/>
      <c r="E60" s="20"/>
      <c r="F60" s="16"/>
      <c r="G60" s="16">
        <f t="shared" si="14"/>
        <v>51700000</v>
      </c>
      <c r="H60" s="13">
        <v>16000000</v>
      </c>
      <c r="I60" s="13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6">
        <f t="shared" si="15"/>
        <v>16000000</v>
      </c>
    </row>
    <row r="61" spans="1:20" ht="15.75" x14ac:dyDescent="0.25">
      <c r="A61" s="56"/>
      <c r="B61" s="120" t="s">
        <v>76</v>
      </c>
      <c r="C61" s="59">
        <f>C7+C19+C24+C32+C39+C51+C56</f>
        <v>9232000000</v>
      </c>
      <c r="D61" s="59">
        <f t="shared" ref="D61:T61" si="19">D7+D19+D24+D32+D39+D51+D56</f>
        <v>714300000</v>
      </c>
      <c r="E61" s="59">
        <f t="shared" si="19"/>
        <v>726300000</v>
      </c>
      <c r="F61" s="59">
        <f t="shared" si="19"/>
        <v>0</v>
      </c>
      <c r="G61" s="59">
        <f t="shared" si="19"/>
        <v>9220000000</v>
      </c>
      <c r="H61" s="59">
        <f t="shared" si="19"/>
        <v>582838697</v>
      </c>
      <c r="I61" s="59">
        <f t="shared" si="19"/>
        <v>1191722809</v>
      </c>
      <c r="J61" s="121">
        <f t="shared" si="19"/>
        <v>810726524</v>
      </c>
      <c r="K61" s="121">
        <f t="shared" si="19"/>
        <v>468089647</v>
      </c>
      <c r="L61" s="121">
        <f t="shared" si="19"/>
        <v>518192099</v>
      </c>
      <c r="M61" s="121">
        <f t="shared" si="19"/>
        <v>489255803</v>
      </c>
      <c r="N61" s="121">
        <f t="shared" si="19"/>
        <v>624167438</v>
      </c>
      <c r="O61" s="121">
        <f t="shared" si="19"/>
        <v>465974600</v>
      </c>
      <c r="P61" s="121">
        <f t="shared" si="19"/>
        <v>464145213</v>
      </c>
      <c r="Q61" s="121">
        <f t="shared" si="19"/>
        <v>726317701</v>
      </c>
      <c r="R61" s="121">
        <f t="shared" si="19"/>
        <v>495037020</v>
      </c>
      <c r="S61" s="121">
        <f t="shared" si="19"/>
        <v>490281418</v>
      </c>
      <c r="T61" s="121">
        <f t="shared" si="19"/>
        <v>7602243826</v>
      </c>
    </row>
    <row r="62" spans="1:20" ht="18.75" x14ac:dyDescent="0.4">
      <c r="A62" s="99">
        <v>30506</v>
      </c>
      <c r="B62" s="100" t="s">
        <v>77</v>
      </c>
      <c r="C62" s="16">
        <v>0</v>
      </c>
      <c r="D62" s="16"/>
      <c r="E62" s="16"/>
      <c r="F62" s="10"/>
      <c r="G62" s="10"/>
      <c r="H62" s="10"/>
      <c r="I62" s="10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0"/>
    </row>
    <row r="63" spans="1:20" x14ac:dyDescent="0.25">
      <c r="A63" s="116">
        <v>30506180</v>
      </c>
      <c r="B63" s="116" t="s">
        <v>78</v>
      </c>
      <c r="C63" s="23">
        <v>0</v>
      </c>
      <c r="D63" s="16"/>
      <c r="E63" s="16"/>
      <c r="F63" s="16"/>
      <c r="G63" s="16">
        <f>C63+D63-E63+F63</f>
        <v>0</v>
      </c>
      <c r="H63" s="13"/>
      <c r="I63" s="13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0"/>
    </row>
    <row r="64" spans="1:20" x14ac:dyDescent="0.25">
      <c r="A64" s="105">
        <v>30506180401</v>
      </c>
      <c r="B64" s="8" t="s">
        <v>79</v>
      </c>
      <c r="C64" s="16">
        <v>0</v>
      </c>
      <c r="D64" s="16"/>
      <c r="E64" s="16"/>
      <c r="F64" s="16">
        <v>300000000</v>
      </c>
      <c r="G64" s="16">
        <f>C64+D64-E64+F64</f>
        <v>300000000</v>
      </c>
      <c r="H64" s="13"/>
      <c r="I64" s="13"/>
      <c r="J64" s="111">
        <v>30000000</v>
      </c>
      <c r="K64" s="111">
        <v>30000000</v>
      </c>
      <c r="L64" s="111">
        <v>30000000</v>
      </c>
      <c r="M64" s="111">
        <v>30000000</v>
      </c>
      <c r="N64" s="111">
        <v>30000000</v>
      </c>
      <c r="O64" s="111">
        <v>30000000</v>
      </c>
      <c r="P64" s="111">
        <v>30000000</v>
      </c>
      <c r="Q64" s="111">
        <v>30000000</v>
      </c>
      <c r="R64" s="111">
        <v>30000000</v>
      </c>
      <c r="S64" s="111">
        <v>30000000</v>
      </c>
      <c r="T64" s="16">
        <f t="shared" ref="T64:T65" si="20">H64+I64+J64+K64+L64+M64+N64+O64+P64+Q64+R64+S64</f>
        <v>300000000</v>
      </c>
    </row>
    <row r="65" spans="1:20" x14ac:dyDescent="0.25">
      <c r="A65" s="105">
        <v>30506180402</v>
      </c>
      <c r="B65" s="8" t="s">
        <v>80</v>
      </c>
      <c r="C65" s="16">
        <v>0</v>
      </c>
      <c r="D65" s="122">
        <v>12000000</v>
      </c>
      <c r="E65" s="16"/>
      <c r="F65" s="16"/>
      <c r="G65" s="16">
        <f t="shared" ref="G65" si="21">C65+D65-E65+F65</f>
        <v>12000000</v>
      </c>
      <c r="H65" s="13"/>
      <c r="I65" s="13"/>
      <c r="J65" s="123">
        <v>2114459.7999999998</v>
      </c>
      <c r="K65" s="123">
        <v>1903013.82</v>
      </c>
      <c r="L65" s="123">
        <v>1691567.84</v>
      </c>
      <c r="M65" s="123">
        <v>1480121.86</v>
      </c>
      <c r="N65" s="123">
        <v>1268675.8799999999</v>
      </c>
      <c r="O65" s="123">
        <v>1057229.8999999999</v>
      </c>
      <c r="P65" s="123">
        <v>845783.92</v>
      </c>
      <c r="Q65" s="123">
        <v>605040</v>
      </c>
      <c r="R65" s="123">
        <v>393095</v>
      </c>
      <c r="S65" s="123">
        <v>196035</v>
      </c>
      <c r="T65" s="16">
        <f t="shared" si="20"/>
        <v>11555023.02</v>
      </c>
    </row>
    <row r="66" spans="1:20" ht="15.75" x14ac:dyDescent="0.25">
      <c r="A66" s="8"/>
      <c r="B66" s="120" t="s">
        <v>81</v>
      </c>
      <c r="C66" s="59">
        <f>C63+C64+C65</f>
        <v>0</v>
      </c>
      <c r="D66" s="59">
        <f t="shared" ref="D66:E66" si="22">D63+D64+D65</f>
        <v>12000000</v>
      </c>
      <c r="E66" s="59">
        <f t="shared" si="22"/>
        <v>0</v>
      </c>
      <c r="F66" s="59">
        <f>F63+F64+F65</f>
        <v>300000000</v>
      </c>
      <c r="G66" s="59">
        <f t="shared" ref="G66:T66" si="23">G64+G65</f>
        <v>312000000</v>
      </c>
      <c r="H66" s="59">
        <f t="shared" si="23"/>
        <v>0</v>
      </c>
      <c r="I66" s="59">
        <f t="shared" si="23"/>
        <v>0</v>
      </c>
      <c r="J66" s="59">
        <f t="shared" si="23"/>
        <v>32114459.800000001</v>
      </c>
      <c r="K66" s="59">
        <f t="shared" si="23"/>
        <v>31903013.82</v>
      </c>
      <c r="L66" s="59">
        <f t="shared" si="23"/>
        <v>31691567.84</v>
      </c>
      <c r="M66" s="59">
        <f t="shared" si="23"/>
        <v>31480121.859999999</v>
      </c>
      <c r="N66" s="59">
        <f t="shared" si="23"/>
        <v>31268675.879999999</v>
      </c>
      <c r="O66" s="59">
        <f t="shared" si="23"/>
        <v>31057229.899999999</v>
      </c>
      <c r="P66" s="59">
        <f t="shared" si="23"/>
        <v>30845783.920000002</v>
      </c>
      <c r="Q66" s="59">
        <f t="shared" si="23"/>
        <v>30605040</v>
      </c>
      <c r="R66" s="59">
        <f t="shared" si="23"/>
        <v>30393095</v>
      </c>
      <c r="S66" s="59">
        <f t="shared" si="23"/>
        <v>30196035</v>
      </c>
      <c r="T66" s="59">
        <f t="shared" si="23"/>
        <v>311555023.01999998</v>
      </c>
    </row>
    <row r="67" spans="1:20" ht="18.75" x14ac:dyDescent="0.4">
      <c r="A67" s="99">
        <v>30507</v>
      </c>
      <c r="B67" s="124" t="s">
        <v>82</v>
      </c>
      <c r="C67" s="10"/>
      <c r="D67" s="10"/>
      <c r="E67" s="10"/>
      <c r="F67" s="10"/>
      <c r="G67" s="10"/>
      <c r="H67" s="10"/>
      <c r="I67" s="10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0"/>
    </row>
    <row r="68" spans="1:20" ht="15.75" x14ac:dyDescent="0.3">
      <c r="A68" s="125">
        <v>30507180</v>
      </c>
      <c r="B68" s="126" t="s">
        <v>306</v>
      </c>
      <c r="C68" s="10"/>
      <c r="D68" s="16"/>
      <c r="E68" s="16"/>
      <c r="F68" s="10"/>
      <c r="G68" s="10"/>
      <c r="H68" s="10"/>
      <c r="I68" s="10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6"/>
    </row>
    <row r="69" spans="1:20" x14ac:dyDescent="0.25">
      <c r="A69" s="105">
        <v>30507180401</v>
      </c>
      <c r="B69" s="127" t="s">
        <v>89</v>
      </c>
      <c r="C69" s="16">
        <v>400000000</v>
      </c>
      <c r="D69" s="16"/>
      <c r="E69" s="128">
        <v>64000000</v>
      </c>
      <c r="F69" s="10"/>
      <c r="G69" s="16">
        <f t="shared" ref="G69:G73" si="24">C69+D69-E69+F69</f>
        <v>336000000</v>
      </c>
      <c r="H69" s="16">
        <v>22000000</v>
      </c>
      <c r="I69" s="16"/>
      <c r="J69" s="16"/>
      <c r="K69" s="16"/>
      <c r="L69" s="16">
        <v>11000000</v>
      </c>
      <c r="M69" s="16"/>
      <c r="N69" s="16"/>
      <c r="O69" s="16"/>
      <c r="P69" s="16"/>
      <c r="Q69" s="16"/>
      <c r="R69" s="16"/>
      <c r="S69" s="16"/>
      <c r="T69" s="16">
        <f t="shared" ref="T69:T73" si="25">H69+I69+J69+K69+L69+M69+N69+O69+P69+Q69+R69+S69</f>
        <v>33000000</v>
      </c>
    </row>
    <row r="70" spans="1:20" x14ac:dyDescent="0.25">
      <c r="A70" s="105">
        <v>30507180402</v>
      </c>
      <c r="B70" s="127" t="s">
        <v>279</v>
      </c>
      <c r="C70" s="16">
        <v>881700000</v>
      </c>
      <c r="D70" s="128">
        <v>13611637</v>
      </c>
      <c r="E70" s="16"/>
      <c r="F70" s="10"/>
      <c r="G70" s="16">
        <f t="shared" si="24"/>
        <v>895311637</v>
      </c>
      <c r="H70" s="16">
        <v>46000000</v>
      </c>
      <c r="I70" s="16"/>
      <c r="J70" s="16"/>
      <c r="K70" s="16"/>
      <c r="L70" s="16">
        <v>15000000</v>
      </c>
      <c r="M70" s="16"/>
      <c r="N70" s="16"/>
      <c r="O70" s="16"/>
      <c r="P70" s="16"/>
      <c r="Q70" s="16"/>
      <c r="R70" s="16"/>
      <c r="S70" s="16"/>
      <c r="T70" s="16">
        <f t="shared" si="25"/>
        <v>61000000</v>
      </c>
    </row>
    <row r="71" spans="1:20" x14ac:dyDescent="0.25">
      <c r="A71" s="105">
        <v>30507180403</v>
      </c>
      <c r="B71" s="127" t="s">
        <v>91</v>
      </c>
      <c r="C71" s="16">
        <v>370000000</v>
      </c>
      <c r="D71" s="16"/>
      <c r="E71" s="128">
        <v>256540000</v>
      </c>
      <c r="F71" s="10"/>
      <c r="G71" s="16">
        <f t="shared" si="24"/>
        <v>113460000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>
        <f t="shared" si="25"/>
        <v>0</v>
      </c>
    </row>
    <row r="72" spans="1:20" x14ac:dyDescent="0.25">
      <c r="A72" s="105">
        <v>30507180404</v>
      </c>
      <c r="B72" s="127" t="s">
        <v>85</v>
      </c>
      <c r="C72" s="16">
        <v>1082500000</v>
      </c>
      <c r="D72" s="16"/>
      <c r="E72" s="128">
        <v>322623655</v>
      </c>
      <c r="F72" s="10"/>
      <c r="G72" s="16">
        <f t="shared" si="24"/>
        <v>759876345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>
        <f t="shared" si="25"/>
        <v>0</v>
      </c>
    </row>
    <row r="73" spans="1:20" x14ac:dyDescent="0.25">
      <c r="A73" s="105">
        <v>30507180405</v>
      </c>
      <c r="B73" s="127" t="s">
        <v>92</v>
      </c>
      <c r="C73" s="16">
        <v>556800000</v>
      </c>
      <c r="D73" s="128">
        <v>629552018</v>
      </c>
      <c r="E73" s="16"/>
      <c r="F73" s="10"/>
      <c r="G73" s="16">
        <f t="shared" si="24"/>
        <v>1186352018</v>
      </c>
      <c r="H73" s="16">
        <v>106995000</v>
      </c>
      <c r="I73" s="16"/>
      <c r="J73" s="16"/>
      <c r="K73" s="16"/>
      <c r="L73" s="16">
        <v>45200000</v>
      </c>
      <c r="M73" s="16"/>
      <c r="N73" s="16"/>
      <c r="O73" s="16">
        <v>1749300</v>
      </c>
      <c r="P73" s="16"/>
      <c r="Q73" s="16">
        <v>11466666</v>
      </c>
      <c r="R73" s="16"/>
      <c r="S73" s="16"/>
      <c r="T73" s="16">
        <f t="shared" si="25"/>
        <v>165410966</v>
      </c>
    </row>
    <row r="74" spans="1:20" ht="15.75" x14ac:dyDescent="0.25">
      <c r="A74" s="56"/>
      <c r="B74" s="120" t="s">
        <v>93</v>
      </c>
      <c r="C74" s="59">
        <f>SUM(C69:C73)</f>
        <v>3291000000</v>
      </c>
      <c r="D74" s="59">
        <f t="shared" ref="D74:G74" si="26">SUM(D69:D73)</f>
        <v>643163655</v>
      </c>
      <c r="E74" s="59">
        <f t="shared" si="26"/>
        <v>643163655</v>
      </c>
      <c r="F74" s="59">
        <f t="shared" si="26"/>
        <v>0</v>
      </c>
      <c r="G74" s="59">
        <f t="shared" si="26"/>
        <v>3291000000</v>
      </c>
      <c r="H74" s="59">
        <f>SUM(H69:H73)</f>
        <v>174995000</v>
      </c>
      <c r="I74" s="59">
        <f t="shared" ref="I74:R74" si="27">SUM(I69:I73)</f>
        <v>0</v>
      </c>
      <c r="J74" s="59">
        <f t="shared" si="27"/>
        <v>0</v>
      </c>
      <c r="K74" s="59">
        <f t="shared" si="27"/>
        <v>0</v>
      </c>
      <c r="L74" s="59">
        <f t="shared" si="27"/>
        <v>71200000</v>
      </c>
      <c r="M74" s="59">
        <f t="shared" si="27"/>
        <v>0</v>
      </c>
      <c r="N74" s="59">
        <f t="shared" si="27"/>
        <v>0</v>
      </c>
      <c r="O74" s="59">
        <f t="shared" si="27"/>
        <v>1749300</v>
      </c>
      <c r="P74" s="59">
        <f t="shared" si="27"/>
        <v>0</v>
      </c>
      <c r="Q74" s="59">
        <f t="shared" si="27"/>
        <v>11466666</v>
      </c>
      <c r="R74" s="59">
        <f t="shared" si="27"/>
        <v>0</v>
      </c>
      <c r="S74" s="59"/>
      <c r="T74" s="59">
        <f t="shared" ref="T74" si="28">SUM(T69:T73)</f>
        <v>259410966</v>
      </c>
    </row>
    <row r="75" spans="1:20" ht="19.5" x14ac:dyDescent="0.4">
      <c r="A75" s="129" t="s">
        <v>307</v>
      </c>
      <c r="B75" s="129"/>
      <c r="C75" s="130">
        <f>C61+C66+C74</f>
        <v>12523000000</v>
      </c>
      <c r="D75" s="130">
        <f t="shared" ref="D75:T75" si="29">D61+D66+D74</f>
        <v>1369463655</v>
      </c>
      <c r="E75" s="130">
        <f t="shared" si="29"/>
        <v>1369463655</v>
      </c>
      <c r="F75" s="130">
        <f t="shared" si="29"/>
        <v>300000000</v>
      </c>
      <c r="G75" s="130">
        <f t="shared" si="29"/>
        <v>12823000000</v>
      </c>
      <c r="H75" s="131">
        <f t="shared" si="29"/>
        <v>757833697</v>
      </c>
      <c r="I75" s="131">
        <f t="shared" si="29"/>
        <v>1191722809</v>
      </c>
      <c r="J75" s="131">
        <f t="shared" si="29"/>
        <v>842840983.79999995</v>
      </c>
      <c r="K75" s="131">
        <f t="shared" si="29"/>
        <v>499992660.81999999</v>
      </c>
      <c r="L75" s="131">
        <f t="shared" si="29"/>
        <v>621083666.84000003</v>
      </c>
      <c r="M75" s="131">
        <f t="shared" si="29"/>
        <v>520735924.86000001</v>
      </c>
      <c r="N75" s="131">
        <f t="shared" si="29"/>
        <v>655436113.88</v>
      </c>
      <c r="O75" s="131">
        <f t="shared" si="29"/>
        <v>498781129.89999998</v>
      </c>
      <c r="P75" s="131">
        <f t="shared" si="29"/>
        <v>494990996.92000002</v>
      </c>
      <c r="Q75" s="131">
        <f t="shared" si="29"/>
        <v>768389407</v>
      </c>
      <c r="R75" s="131">
        <f t="shared" si="29"/>
        <v>525430115</v>
      </c>
      <c r="S75" s="131">
        <f t="shared" si="29"/>
        <v>520477453</v>
      </c>
      <c r="T75" s="132">
        <f t="shared" si="29"/>
        <v>8173209815.0200005</v>
      </c>
    </row>
  </sheetData>
  <mergeCells count="22">
    <mergeCell ref="P3:P4"/>
    <mergeCell ref="Q3:Q4"/>
    <mergeCell ref="R3:R4"/>
    <mergeCell ref="S3:S4"/>
    <mergeCell ref="T3:T4"/>
    <mergeCell ref="A75:B75"/>
    <mergeCell ref="J3:J4"/>
    <mergeCell ref="K3:K4"/>
    <mergeCell ref="L3:L4"/>
    <mergeCell ref="M3:M4"/>
    <mergeCell ref="N3:N4"/>
    <mergeCell ref="O3:O4"/>
    <mergeCell ref="A1:T1"/>
    <mergeCell ref="A2:T2"/>
    <mergeCell ref="A3:A4"/>
    <mergeCell ref="B3:B4"/>
    <mergeCell ref="C3:C4"/>
    <mergeCell ref="D3:E3"/>
    <mergeCell ref="F3:F4"/>
    <mergeCell ref="G3:G4"/>
    <mergeCell ref="H3:H4"/>
    <mergeCell ref="I3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workbookViewId="0">
      <selection activeCell="G13" sqref="G13"/>
    </sheetView>
  </sheetViews>
  <sheetFormatPr baseColWidth="10" defaultRowHeight="15" x14ac:dyDescent="0.25"/>
  <sheetData>
    <row r="1" spans="1:18" x14ac:dyDescent="0.25">
      <c r="A1" s="133" t="s">
        <v>96</v>
      </c>
      <c r="B1" s="133" t="s">
        <v>97</v>
      </c>
      <c r="C1" s="133" t="s">
        <v>308</v>
      </c>
      <c r="D1" s="133" t="s">
        <v>309</v>
      </c>
      <c r="E1" s="133" t="s">
        <v>100</v>
      </c>
      <c r="F1" s="133" t="s">
        <v>310</v>
      </c>
      <c r="G1" s="133" t="s">
        <v>311</v>
      </c>
      <c r="H1" s="133" t="s">
        <v>312</v>
      </c>
      <c r="I1" s="133" t="s">
        <v>313</v>
      </c>
      <c r="J1" s="133" t="s">
        <v>314</v>
      </c>
      <c r="K1" s="133" t="s">
        <v>315</v>
      </c>
      <c r="L1" s="133" t="s">
        <v>316</v>
      </c>
      <c r="M1" s="133" t="s">
        <v>317</v>
      </c>
      <c r="N1" s="133" t="s">
        <v>318</v>
      </c>
      <c r="O1" s="133" t="s">
        <v>319</v>
      </c>
      <c r="P1" s="133" t="s">
        <v>320</v>
      </c>
      <c r="Q1" s="133" t="s">
        <v>321</v>
      </c>
      <c r="R1" s="133" t="s">
        <v>322</v>
      </c>
    </row>
    <row r="2" spans="1:18" x14ac:dyDescent="0.2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5"/>
    </row>
    <row r="3" spans="1:18" x14ac:dyDescent="0.25">
      <c r="A3" s="136">
        <v>1.1000000000000001</v>
      </c>
      <c r="B3" s="137" t="s">
        <v>114</v>
      </c>
      <c r="C3" s="138">
        <v>1500000000</v>
      </c>
      <c r="D3" s="139"/>
      <c r="E3" s="138">
        <f>+C3+D3</f>
        <v>1500000000</v>
      </c>
      <c r="F3" s="140">
        <v>34690000</v>
      </c>
      <c r="G3" s="140">
        <v>37854000</v>
      </c>
      <c r="H3" s="140">
        <v>79277774</v>
      </c>
      <c r="I3" s="140">
        <v>173426234</v>
      </c>
      <c r="J3" s="140">
        <v>348949679.73000002</v>
      </c>
      <c r="K3" s="140">
        <v>70448791</v>
      </c>
      <c r="L3" s="140">
        <v>0</v>
      </c>
      <c r="M3" s="140">
        <v>125954841</v>
      </c>
      <c r="N3" s="140">
        <f>+N4</f>
        <v>106261448</v>
      </c>
      <c r="O3" s="140">
        <f>+O4</f>
        <v>164940963</v>
      </c>
      <c r="P3" s="140">
        <f>+P4</f>
        <v>135698426</v>
      </c>
      <c r="Q3" s="140">
        <f>+Q4</f>
        <v>60815875</v>
      </c>
      <c r="R3" s="140">
        <f>+R4</f>
        <v>1338318031.73</v>
      </c>
    </row>
    <row r="4" spans="1:18" x14ac:dyDescent="0.25">
      <c r="A4" s="46" t="s">
        <v>116</v>
      </c>
      <c r="B4" s="45" t="s">
        <v>117</v>
      </c>
      <c r="C4" s="141">
        <v>1500000000</v>
      </c>
      <c r="D4" s="142"/>
      <c r="E4" s="141">
        <f>+C4+D4</f>
        <v>1500000000</v>
      </c>
      <c r="F4" s="141">
        <v>34690000</v>
      </c>
      <c r="G4" s="142">
        <v>37854000</v>
      </c>
      <c r="H4" s="142">
        <v>79277774</v>
      </c>
      <c r="I4" s="142">
        <v>173426234</v>
      </c>
      <c r="J4" s="142">
        <v>348949679.73000002</v>
      </c>
      <c r="K4" s="142">
        <v>70448791</v>
      </c>
      <c r="L4" s="142">
        <v>0</v>
      </c>
      <c r="M4" s="142">
        <v>125954841</v>
      </c>
      <c r="N4" s="142">
        <v>106261448</v>
      </c>
      <c r="O4" s="142">
        <v>164940963</v>
      </c>
      <c r="P4" s="142">
        <v>135698426</v>
      </c>
      <c r="Q4" s="142">
        <v>60815875</v>
      </c>
      <c r="R4" s="142">
        <f>+F4+G4+H4+I4+J4+K4+L4+M4+N4+O4+P4+Q4</f>
        <v>1338318031.73</v>
      </c>
    </row>
    <row r="5" spans="1:18" x14ac:dyDescent="0.25">
      <c r="A5" s="136">
        <v>1.2</v>
      </c>
      <c r="B5" s="137" t="s">
        <v>118</v>
      </c>
      <c r="C5" s="138">
        <v>7800000000</v>
      </c>
      <c r="D5" s="142"/>
      <c r="E5" s="138">
        <f>+C5+D5</f>
        <v>7800000000</v>
      </c>
      <c r="F5" s="143">
        <f t="shared" ref="F5:R5" si="0">SUM(F6:F69)</f>
        <v>122081750</v>
      </c>
      <c r="G5" s="143">
        <f t="shared" si="0"/>
        <v>732465100</v>
      </c>
      <c r="H5" s="143">
        <f t="shared" si="0"/>
        <v>268650150</v>
      </c>
      <c r="I5" s="143">
        <f t="shared" si="0"/>
        <v>227262419</v>
      </c>
      <c r="J5" s="143">
        <f t="shared" si="0"/>
        <v>235970418</v>
      </c>
      <c r="K5" s="143">
        <f t="shared" si="0"/>
        <v>307565044</v>
      </c>
      <c r="L5" s="143">
        <f t="shared" si="0"/>
        <v>119857526</v>
      </c>
      <c r="M5" s="143">
        <f t="shared" si="0"/>
        <v>147992602</v>
      </c>
      <c r="N5" s="143">
        <f t="shared" si="0"/>
        <v>150719386</v>
      </c>
      <c r="O5" s="143">
        <f t="shared" si="0"/>
        <v>174882514</v>
      </c>
      <c r="P5" s="143">
        <f t="shared" si="0"/>
        <v>209884878</v>
      </c>
      <c r="Q5" s="143">
        <f t="shared" si="0"/>
        <v>690864195</v>
      </c>
      <c r="R5" s="143">
        <f t="shared" si="0"/>
        <v>3388195982</v>
      </c>
    </row>
    <row r="6" spans="1:18" x14ac:dyDescent="0.25">
      <c r="A6" s="46" t="s">
        <v>120</v>
      </c>
      <c r="B6" s="45" t="s">
        <v>121</v>
      </c>
      <c r="C6" s="141">
        <v>3300000000</v>
      </c>
      <c r="D6" s="142"/>
      <c r="E6" s="141">
        <f t="shared" ref="E6:E69" si="1">+C6+D6</f>
        <v>3300000000</v>
      </c>
      <c r="F6" s="141">
        <v>37973900</v>
      </c>
      <c r="G6" s="141">
        <v>79814400</v>
      </c>
      <c r="H6" s="141">
        <v>89242850</v>
      </c>
      <c r="I6" s="141">
        <v>65247891</v>
      </c>
      <c r="J6" s="141">
        <v>71458723</v>
      </c>
      <c r="K6" s="141">
        <v>68425694</v>
      </c>
      <c r="L6" s="141">
        <v>43257986</v>
      </c>
      <c r="M6" s="141">
        <v>52478956</v>
      </c>
      <c r="N6" s="141">
        <v>74586924</v>
      </c>
      <c r="O6" s="141">
        <v>67586924</v>
      </c>
      <c r="P6" s="141">
        <v>81425698</v>
      </c>
      <c r="Q6" s="141">
        <v>63425786</v>
      </c>
      <c r="R6" s="142">
        <f t="shared" ref="R6:R69" si="2">+F6+G6+H6+I6+J6+K6+L6+M6+N6+O6+P6+Q6</f>
        <v>794925732</v>
      </c>
    </row>
    <row r="7" spans="1:18" x14ac:dyDescent="0.25">
      <c r="A7" s="46" t="s">
        <v>123</v>
      </c>
      <c r="B7" s="45" t="s">
        <v>151</v>
      </c>
      <c r="C7" s="141">
        <v>1110000000</v>
      </c>
      <c r="D7" s="142"/>
      <c r="E7" s="141">
        <f t="shared" si="1"/>
        <v>1110000000</v>
      </c>
      <c r="F7" s="141">
        <v>19455750</v>
      </c>
      <c r="G7" s="141">
        <v>36197100</v>
      </c>
      <c r="H7" s="141">
        <v>44408700</v>
      </c>
      <c r="I7" s="141">
        <v>38456285</v>
      </c>
      <c r="J7" s="141">
        <v>39042876</v>
      </c>
      <c r="K7" s="141">
        <v>89758426</v>
      </c>
      <c r="L7" s="141">
        <v>0</v>
      </c>
      <c r="M7" s="141">
        <v>0</v>
      </c>
      <c r="N7" s="141">
        <v>0</v>
      </c>
      <c r="O7" s="141">
        <v>0</v>
      </c>
      <c r="P7" s="141">
        <v>0</v>
      </c>
      <c r="Q7" s="141"/>
      <c r="R7" s="142">
        <f t="shared" si="2"/>
        <v>267319137</v>
      </c>
    </row>
    <row r="8" spans="1:18" x14ac:dyDescent="0.25">
      <c r="A8" s="46" t="s">
        <v>126</v>
      </c>
      <c r="B8" s="45" t="s">
        <v>323</v>
      </c>
      <c r="C8" s="141">
        <v>1678000000</v>
      </c>
      <c r="D8" s="142"/>
      <c r="E8" s="141">
        <f t="shared" si="1"/>
        <v>1678000000</v>
      </c>
      <c r="F8" s="141">
        <v>23855500</v>
      </c>
      <c r="G8" s="141">
        <v>45875050</v>
      </c>
      <c r="H8" s="141">
        <v>51977700</v>
      </c>
      <c r="I8" s="141">
        <v>46975243</v>
      </c>
      <c r="J8" s="141">
        <v>49895247</v>
      </c>
      <c r="K8" s="141">
        <v>80235872</v>
      </c>
      <c r="L8" s="141">
        <v>0</v>
      </c>
      <c r="M8" s="141">
        <v>911450</v>
      </c>
      <c r="N8" s="141">
        <v>145638</v>
      </c>
      <c r="O8" s="141">
        <f>2296854+882</f>
        <v>2297736</v>
      </c>
      <c r="P8" s="141">
        <f>22075319+2497373</f>
        <v>24572692</v>
      </c>
      <c r="Q8" s="141">
        <f>30478888+947908</f>
        <v>31426796</v>
      </c>
      <c r="R8" s="142">
        <f t="shared" si="2"/>
        <v>358168924</v>
      </c>
    </row>
    <row r="9" spans="1:18" x14ac:dyDescent="0.25">
      <c r="A9" s="46" t="s">
        <v>129</v>
      </c>
      <c r="B9" s="45" t="s">
        <v>324</v>
      </c>
      <c r="C9" s="141">
        <v>365000000</v>
      </c>
      <c r="D9" s="142"/>
      <c r="E9" s="141">
        <f t="shared" si="1"/>
        <v>365000000</v>
      </c>
      <c r="F9" s="141">
        <v>3880350</v>
      </c>
      <c r="G9" s="141">
        <v>1854250</v>
      </c>
      <c r="H9" s="141">
        <v>2179850</v>
      </c>
      <c r="I9" s="141">
        <v>2487952</v>
      </c>
      <c r="J9" s="141">
        <v>2892549</v>
      </c>
      <c r="K9" s="141">
        <v>3316428</v>
      </c>
      <c r="L9" s="141">
        <v>2687542</v>
      </c>
      <c r="M9" s="141">
        <f>5788800+605440</f>
        <v>6394240</v>
      </c>
      <c r="N9" s="141">
        <v>4789362</v>
      </c>
      <c r="O9" s="141">
        <v>6557625</v>
      </c>
      <c r="P9" s="141">
        <v>5707395</v>
      </c>
      <c r="Q9" s="141">
        <v>5653125</v>
      </c>
      <c r="R9" s="142">
        <f t="shared" si="2"/>
        <v>48400668</v>
      </c>
    </row>
    <row r="10" spans="1:18" x14ac:dyDescent="0.25">
      <c r="A10" s="46" t="s">
        <v>132</v>
      </c>
      <c r="B10" s="45" t="s">
        <v>325</v>
      </c>
      <c r="C10" s="141">
        <v>50000</v>
      </c>
      <c r="D10" s="142"/>
      <c r="E10" s="141">
        <f t="shared" si="1"/>
        <v>50000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/>
      <c r="Q10" s="141">
        <v>0</v>
      </c>
      <c r="R10" s="142">
        <f t="shared" si="2"/>
        <v>0</v>
      </c>
    </row>
    <row r="11" spans="1:18" x14ac:dyDescent="0.25">
      <c r="A11" s="46" t="s">
        <v>135</v>
      </c>
      <c r="B11" s="45" t="s">
        <v>326</v>
      </c>
      <c r="C11" s="141">
        <v>26000000</v>
      </c>
      <c r="D11" s="142"/>
      <c r="E11" s="141">
        <f t="shared" si="1"/>
        <v>26000000</v>
      </c>
      <c r="F11" s="141">
        <v>516900</v>
      </c>
      <c r="G11" s="141">
        <v>500750</v>
      </c>
      <c r="H11" s="141">
        <v>702650</v>
      </c>
      <c r="I11" s="141">
        <v>895422</v>
      </c>
      <c r="J11" s="141">
        <v>796422</v>
      </c>
      <c r="K11" s="141">
        <v>965388</v>
      </c>
      <c r="L11" s="141">
        <v>1069874</v>
      </c>
      <c r="M11" s="141">
        <v>875642</v>
      </c>
      <c r="N11" s="141">
        <v>1056799</v>
      </c>
      <c r="O11" s="141">
        <v>952968</v>
      </c>
      <c r="P11" s="141">
        <v>613776</v>
      </c>
      <c r="Q11" s="141">
        <v>1033728</v>
      </c>
      <c r="R11" s="142">
        <f t="shared" si="2"/>
        <v>9980319</v>
      </c>
    </row>
    <row r="12" spans="1:18" x14ac:dyDescent="0.25">
      <c r="A12" s="46" t="s">
        <v>138</v>
      </c>
      <c r="B12" s="45" t="s">
        <v>136</v>
      </c>
      <c r="C12" s="141">
        <v>38000000</v>
      </c>
      <c r="D12" s="142"/>
      <c r="E12" s="141">
        <f t="shared" si="1"/>
        <v>38000000</v>
      </c>
      <c r="F12" s="141">
        <v>565350</v>
      </c>
      <c r="G12" s="141">
        <v>567650</v>
      </c>
      <c r="H12" s="141">
        <v>807600</v>
      </c>
      <c r="I12" s="141">
        <v>1098745</v>
      </c>
      <c r="J12" s="141">
        <v>953647</v>
      </c>
      <c r="K12" s="141">
        <v>1142634</v>
      </c>
      <c r="L12" s="141">
        <v>1347965</v>
      </c>
      <c r="M12" s="141">
        <v>807600</v>
      </c>
      <c r="N12" s="141">
        <v>1187462</v>
      </c>
      <c r="O12" s="141">
        <f>1243704+98316</f>
        <v>1342020</v>
      </c>
      <c r="P12" s="141">
        <v>791448</v>
      </c>
      <c r="Q12" s="141">
        <v>1259856</v>
      </c>
      <c r="R12" s="142">
        <f t="shared" si="2"/>
        <v>11871977</v>
      </c>
    </row>
    <row r="13" spans="1:18" x14ac:dyDescent="0.25">
      <c r="A13" s="46" t="s">
        <v>141</v>
      </c>
      <c r="B13" s="45" t="s">
        <v>139</v>
      </c>
      <c r="C13" s="141">
        <v>95000000</v>
      </c>
      <c r="D13" s="142"/>
      <c r="E13" s="141">
        <f t="shared" si="1"/>
        <v>95000000</v>
      </c>
      <c r="F13" s="141">
        <v>2367050</v>
      </c>
      <c r="G13" s="141">
        <v>7824350</v>
      </c>
      <c r="H13" s="141">
        <v>11268850</v>
      </c>
      <c r="I13" s="141">
        <v>8756326</v>
      </c>
      <c r="J13" s="141">
        <v>9058742</v>
      </c>
      <c r="K13" s="141">
        <v>9462826</v>
      </c>
      <c r="L13" s="141">
        <v>6548722</v>
      </c>
      <c r="M13" s="141">
        <v>7231969</v>
      </c>
      <c r="N13" s="141">
        <v>4879684</v>
      </c>
      <c r="O13" s="141">
        <v>4636293</v>
      </c>
      <c r="P13" s="141">
        <v>6152704</v>
      </c>
      <c r="Q13" s="141">
        <v>8638209</v>
      </c>
      <c r="R13" s="142">
        <f t="shared" si="2"/>
        <v>86825725</v>
      </c>
    </row>
    <row r="14" spans="1:18" x14ac:dyDescent="0.25">
      <c r="A14" s="46" t="s">
        <v>144</v>
      </c>
      <c r="B14" s="45" t="s">
        <v>163</v>
      </c>
      <c r="C14" s="141">
        <v>82500000</v>
      </c>
      <c r="D14" s="142"/>
      <c r="E14" s="141">
        <f t="shared" si="1"/>
        <v>82500000</v>
      </c>
      <c r="F14" s="141">
        <v>11979750</v>
      </c>
      <c r="G14" s="141">
        <v>18534050</v>
      </c>
      <c r="H14" s="141">
        <v>8697650</v>
      </c>
      <c r="I14" s="141">
        <v>9234822</v>
      </c>
      <c r="J14" s="141">
        <v>9059822</v>
      </c>
      <c r="K14" s="141">
        <v>8527422</v>
      </c>
      <c r="L14" s="141">
        <v>9056723</v>
      </c>
      <c r="M14" s="141">
        <v>9432590</v>
      </c>
      <c r="N14" s="141">
        <v>6987546</v>
      </c>
      <c r="O14" s="141">
        <v>9175218</v>
      </c>
      <c r="P14" s="141">
        <v>9716847</v>
      </c>
      <c r="Q14" s="141">
        <v>13605480</v>
      </c>
      <c r="R14" s="142">
        <f t="shared" si="2"/>
        <v>124007920</v>
      </c>
    </row>
    <row r="15" spans="1:18" x14ac:dyDescent="0.25">
      <c r="A15" s="46" t="s">
        <v>147</v>
      </c>
      <c r="B15" s="45" t="s">
        <v>172</v>
      </c>
      <c r="C15" s="141">
        <v>38000000</v>
      </c>
      <c r="D15" s="142"/>
      <c r="E15" s="141">
        <f t="shared" si="1"/>
        <v>38000000</v>
      </c>
      <c r="F15" s="141">
        <v>159200</v>
      </c>
      <c r="G15" s="141">
        <v>3176600</v>
      </c>
      <c r="H15" s="141">
        <v>3930350</v>
      </c>
      <c r="I15" s="141">
        <v>2856484</v>
      </c>
      <c r="J15" s="141">
        <v>3178944</v>
      </c>
      <c r="K15" s="141">
        <v>2905466</v>
      </c>
      <c r="L15" s="141">
        <v>1689724</v>
      </c>
      <c r="M15" s="141">
        <v>7537600</v>
      </c>
      <c r="N15" s="141">
        <v>4879524</v>
      </c>
      <c r="O15" s="141">
        <v>9825800</v>
      </c>
      <c r="P15" s="141">
        <v>8937440</v>
      </c>
      <c r="Q15" s="141">
        <v>9233560</v>
      </c>
      <c r="R15" s="142">
        <f t="shared" si="2"/>
        <v>58310692</v>
      </c>
    </row>
    <row r="16" spans="1:18" x14ac:dyDescent="0.25">
      <c r="A16" s="46" t="s">
        <v>150</v>
      </c>
      <c r="B16" s="45" t="s">
        <v>190</v>
      </c>
      <c r="C16" s="141">
        <v>24200000</v>
      </c>
      <c r="D16" s="142"/>
      <c r="E16" s="141">
        <f t="shared" si="1"/>
        <v>24200000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159178</v>
      </c>
      <c r="R16" s="142">
        <f t="shared" si="2"/>
        <v>159178</v>
      </c>
    </row>
    <row r="17" spans="1:18" x14ac:dyDescent="0.25">
      <c r="A17" s="46" t="s">
        <v>153</v>
      </c>
      <c r="B17" s="45" t="s">
        <v>327</v>
      </c>
      <c r="C17" s="141">
        <v>2500000</v>
      </c>
      <c r="D17" s="142"/>
      <c r="E17" s="141">
        <f t="shared" si="1"/>
        <v>2500000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2">
        <f t="shared" si="2"/>
        <v>0</v>
      </c>
    </row>
    <row r="18" spans="1:18" x14ac:dyDescent="0.25">
      <c r="A18" s="46" t="s">
        <v>156</v>
      </c>
      <c r="B18" s="45" t="s">
        <v>328</v>
      </c>
      <c r="C18" s="141">
        <v>2500000</v>
      </c>
      <c r="D18" s="142"/>
      <c r="E18" s="141">
        <f t="shared" si="1"/>
        <v>2500000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2">
        <f t="shared" si="2"/>
        <v>0</v>
      </c>
    </row>
    <row r="19" spans="1:18" x14ac:dyDescent="0.25">
      <c r="A19" s="46" t="s">
        <v>159</v>
      </c>
      <c r="B19" s="45" t="s">
        <v>145</v>
      </c>
      <c r="C19" s="141">
        <v>545000000</v>
      </c>
      <c r="D19" s="142"/>
      <c r="E19" s="141">
        <f t="shared" si="1"/>
        <v>545000000</v>
      </c>
      <c r="F19" s="141">
        <v>235850</v>
      </c>
      <c r="G19" s="141">
        <v>443550</v>
      </c>
      <c r="H19" s="141">
        <v>538850</v>
      </c>
      <c r="I19" s="141">
        <v>682476</v>
      </c>
      <c r="J19" s="141">
        <v>582344</v>
      </c>
      <c r="K19" s="141">
        <v>923574</v>
      </c>
      <c r="L19" s="141">
        <v>1235864</v>
      </c>
      <c r="M19" s="141">
        <f>886240+1238363+31101+6391+15130+161</f>
        <v>2177386</v>
      </c>
      <c r="N19" s="141">
        <v>1745684</v>
      </c>
      <c r="O19" s="141">
        <f>653316+3078075</f>
        <v>3731391</v>
      </c>
      <c r="P19" s="141">
        <f>598432+2845700</f>
        <v>3444132</v>
      </c>
      <c r="Q19" s="141">
        <f>821672+1368717</f>
        <v>2190389</v>
      </c>
      <c r="R19" s="142">
        <f t="shared" si="2"/>
        <v>17931490</v>
      </c>
    </row>
    <row r="20" spans="1:18" x14ac:dyDescent="0.25">
      <c r="A20" s="46" t="s">
        <v>162</v>
      </c>
      <c r="B20" s="45" t="s">
        <v>148</v>
      </c>
      <c r="C20" s="141">
        <v>6000000</v>
      </c>
      <c r="D20" s="142"/>
      <c r="E20" s="141">
        <f t="shared" si="1"/>
        <v>6000000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/>
      <c r="N20" s="141">
        <v>0</v>
      </c>
      <c r="O20" s="141">
        <v>0</v>
      </c>
      <c r="P20" s="141">
        <v>0</v>
      </c>
      <c r="Q20" s="141">
        <v>0</v>
      </c>
      <c r="R20" s="142">
        <f t="shared" si="2"/>
        <v>0</v>
      </c>
    </row>
    <row r="21" spans="1:18" x14ac:dyDescent="0.25">
      <c r="A21" s="46" t="s">
        <v>165</v>
      </c>
      <c r="B21" s="45" t="s">
        <v>154</v>
      </c>
      <c r="C21" s="141">
        <v>96000000</v>
      </c>
      <c r="D21" s="142"/>
      <c r="E21" s="141">
        <f t="shared" si="1"/>
        <v>96000000</v>
      </c>
      <c r="F21" s="141">
        <v>7961250</v>
      </c>
      <c r="G21" s="141">
        <v>27456800</v>
      </c>
      <c r="H21" s="141">
        <v>23242000</v>
      </c>
      <c r="I21" s="141">
        <v>21473654</v>
      </c>
      <c r="J21" s="141">
        <v>20223746</v>
      </c>
      <c r="K21" s="141">
        <v>18654438</v>
      </c>
      <c r="L21" s="141">
        <v>23548968</v>
      </c>
      <c r="M21" s="141">
        <v>37070278</v>
      </c>
      <c r="N21" s="141">
        <v>27459872</v>
      </c>
      <c r="O21" s="141">
        <v>32946869</v>
      </c>
      <c r="P21" s="141">
        <f>29566504+3975400</f>
        <v>33541904</v>
      </c>
      <c r="Q21" s="141">
        <v>42947980</v>
      </c>
      <c r="R21" s="142">
        <f t="shared" si="2"/>
        <v>316527759</v>
      </c>
    </row>
    <row r="22" spans="1:18" x14ac:dyDescent="0.25">
      <c r="A22" s="46" t="s">
        <v>168</v>
      </c>
      <c r="B22" s="45" t="s">
        <v>157</v>
      </c>
      <c r="C22" s="141">
        <v>18000000</v>
      </c>
      <c r="D22" s="142"/>
      <c r="E22" s="141">
        <f t="shared" si="1"/>
        <v>18000000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/>
      <c r="N22" s="141">
        <v>124587</v>
      </c>
      <c r="O22" s="141">
        <v>14300</v>
      </c>
      <c r="P22" s="141">
        <v>0</v>
      </c>
      <c r="Q22" s="141">
        <v>0</v>
      </c>
      <c r="R22" s="142">
        <f t="shared" si="2"/>
        <v>138887</v>
      </c>
    </row>
    <row r="23" spans="1:18" x14ac:dyDescent="0.25">
      <c r="A23" s="46" t="s">
        <v>171</v>
      </c>
      <c r="B23" s="45" t="s">
        <v>329</v>
      </c>
      <c r="C23" s="141">
        <v>1000000</v>
      </c>
      <c r="D23" s="142"/>
      <c r="E23" s="141">
        <f t="shared" si="1"/>
        <v>1000000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41"/>
      <c r="N23" s="141">
        <v>0</v>
      </c>
      <c r="O23" s="141">
        <v>0</v>
      </c>
      <c r="P23" s="141">
        <v>0</v>
      </c>
      <c r="Q23" s="141">
        <v>0</v>
      </c>
      <c r="R23" s="142">
        <f t="shared" si="2"/>
        <v>0</v>
      </c>
    </row>
    <row r="24" spans="1:18" x14ac:dyDescent="0.25">
      <c r="A24" s="46" t="s">
        <v>174</v>
      </c>
      <c r="B24" s="45" t="s">
        <v>229</v>
      </c>
      <c r="C24" s="141">
        <v>15730000</v>
      </c>
      <c r="D24" s="142"/>
      <c r="E24" s="141">
        <f t="shared" si="1"/>
        <v>15730000</v>
      </c>
      <c r="F24" s="141">
        <v>356450</v>
      </c>
      <c r="G24" s="141">
        <v>712850</v>
      </c>
      <c r="H24" s="141">
        <v>475250</v>
      </c>
      <c r="I24" s="141">
        <v>625824</v>
      </c>
      <c r="J24" s="141">
        <v>504622</v>
      </c>
      <c r="K24" s="141">
        <v>472386</v>
      </c>
      <c r="L24" s="141">
        <v>635847</v>
      </c>
      <c r="M24" s="141">
        <v>950464</v>
      </c>
      <c r="N24" s="141">
        <v>784668</v>
      </c>
      <c r="O24" s="141">
        <v>1188080</v>
      </c>
      <c r="P24" s="141">
        <v>1782120</v>
      </c>
      <c r="Q24" s="141">
        <v>2019736</v>
      </c>
      <c r="R24" s="142">
        <f t="shared" si="2"/>
        <v>10508297</v>
      </c>
    </row>
    <row r="25" spans="1:18" x14ac:dyDescent="0.25">
      <c r="A25" s="46" t="s">
        <v>177</v>
      </c>
      <c r="B25" s="137" t="s">
        <v>330</v>
      </c>
      <c r="C25" s="141">
        <v>18000000</v>
      </c>
      <c r="D25" s="142"/>
      <c r="E25" s="141">
        <f t="shared" si="1"/>
        <v>18000000</v>
      </c>
      <c r="F25" s="141">
        <v>3187050</v>
      </c>
      <c r="G25" s="141">
        <v>5046700</v>
      </c>
      <c r="H25" s="141">
        <v>4481450</v>
      </c>
      <c r="I25" s="141">
        <v>3852694</v>
      </c>
      <c r="J25" s="141">
        <v>4196522</v>
      </c>
      <c r="K25" s="141">
        <v>3652142</v>
      </c>
      <c r="L25" s="141">
        <v>4235988</v>
      </c>
      <c r="M25" s="141">
        <v>5382675</v>
      </c>
      <c r="N25" s="141">
        <v>4358964</v>
      </c>
      <c r="O25" s="141">
        <v>5399047</v>
      </c>
      <c r="P25" s="141">
        <v>4252041</v>
      </c>
      <c r="Q25" s="141">
        <v>5931578</v>
      </c>
      <c r="R25" s="142">
        <f t="shared" si="2"/>
        <v>53976851</v>
      </c>
    </row>
    <row r="26" spans="1:18" x14ac:dyDescent="0.25">
      <c r="A26" s="46" t="s">
        <v>180</v>
      </c>
      <c r="B26" s="137" t="s">
        <v>331</v>
      </c>
      <c r="C26" s="141">
        <v>14600000</v>
      </c>
      <c r="D26" s="142"/>
      <c r="E26" s="141">
        <f t="shared" si="1"/>
        <v>14600000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v>0</v>
      </c>
      <c r="M26" s="141"/>
      <c r="N26" s="141">
        <v>0</v>
      </c>
      <c r="O26" s="141">
        <v>0</v>
      </c>
      <c r="P26" s="141">
        <v>0</v>
      </c>
      <c r="Q26" s="141">
        <v>0</v>
      </c>
      <c r="R26" s="142">
        <f t="shared" si="2"/>
        <v>0</v>
      </c>
    </row>
    <row r="27" spans="1:18" x14ac:dyDescent="0.25">
      <c r="A27" s="46" t="s">
        <v>183</v>
      </c>
      <c r="B27" s="45" t="s">
        <v>332</v>
      </c>
      <c r="C27" s="141">
        <v>15000000</v>
      </c>
      <c r="D27" s="142"/>
      <c r="E27" s="141">
        <f t="shared" si="1"/>
        <v>15000000</v>
      </c>
      <c r="F27" s="141">
        <v>0</v>
      </c>
      <c r="G27" s="141">
        <v>666050</v>
      </c>
      <c r="H27" s="141">
        <v>423850</v>
      </c>
      <c r="I27" s="141">
        <v>506824</v>
      </c>
      <c r="J27" s="141">
        <v>489714</v>
      </c>
      <c r="K27" s="141">
        <v>706894</v>
      </c>
      <c r="L27" s="141">
        <v>856779</v>
      </c>
      <c r="M27" s="141">
        <v>666028</v>
      </c>
      <c r="N27" s="141">
        <v>985228</v>
      </c>
      <c r="O27" s="141">
        <v>1271508</v>
      </c>
      <c r="P27" s="141">
        <v>968768</v>
      </c>
      <c r="Q27" s="141">
        <v>1574248</v>
      </c>
      <c r="R27" s="142">
        <f t="shared" si="2"/>
        <v>9115891</v>
      </c>
    </row>
    <row r="28" spans="1:18" x14ac:dyDescent="0.25">
      <c r="A28" s="46" t="s">
        <v>186</v>
      </c>
      <c r="B28" s="45" t="s">
        <v>333</v>
      </c>
      <c r="C28" s="141">
        <v>15000000</v>
      </c>
      <c r="D28" s="142"/>
      <c r="E28" s="141">
        <f t="shared" si="1"/>
        <v>15000000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1">
        <v>0</v>
      </c>
      <c r="N28" s="141">
        <v>0</v>
      </c>
      <c r="O28" s="141">
        <v>0</v>
      </c>
      <c r="P28" s="141"/>
      <c r="Q28" s="141">
        <v>0</v>
      </c>
      <c r="R28" s="142">
        <f t="shared" si="2"/>
        <v>0</v>
      </c>
    </row>
    <row r="29" spans="1:18" x14ac:dyDescent="0.25">
      <c r="A29" s="46" t="s">
        <v>189</v>
      </c>
      <c r="B29" s="45" t="s">
        <v>334</v>
      </c>
      <c r="C29" s="141">
        <v>6000000</v>
      </c>
      <c r="D29" s="142"/>
      <c r="E29" s="141">
        <f t="shared" si="1"/>
        <v>6000000</v>
      </c>
      <c r="F29" s="141">
        <v>328350</v>
      </c>
      <c r="G29" s="141">
        <v>124300</v>
      </c>
      <c r="H29" s="141">
        <v>66500</v>
      </c>
      <c r="I29" s="141">
        <v>149628</v>
      </c>
      <c r="J29" s="141">
        <v>112346</v>
      </c>
      <c r="K29" s="141">
        <v>238664</v>
      </c>
      <c r="L29" s="141">
        <v>325866</v>
      </c>
      <c r="M29" s="141">
        <v>108004</v>
      </c>
      <c r="N29" s="141">
        <v>298546</v>
      </c>
      <c r="O29" s="141">
        <v>190722</v>
      </c>
      <c r="P29" s="141">
        <v>157671</v>
      </c>
      <c r="Q29" s="141">
        <v>207700</v>
      </c>
      <c r="R29" s="142">
        <f t="shared" si="2"/>
        <v>2308297</v>
      </c>
    </row>
    <row r="30" spans="1:18" x14ac:dyDescent="0.25">
      <c r="A30" s="46" t="s">
        <v>192</v>
      </c>
      <c r="B30" s="45" t="s">
        <v>335</v>
      </c>
      <c r="C30" s="141">
        <v>7000000</v>
      </c>
      <c r="D30" s="142"/>
      <c r="E30" s="141">
        <f t="shared" si="1"/>
        <v>7000000</v>
      </c>
      <c r="F30" s="141">
        <v>1836800</v>
      </c>
      <c r="G30" s="141">
        <v>4759100</v>
      </c>
      <c r="H30" s="141">
        <v>4591950</v>
      </c>
      <c r="I30" s="141">
        <v>3879526</v>
      </c>
      <c r="J30" s="141">
        <v>3984227</v>
      </c>
      <c r="K30" s="141">
        <v>3289754</v>
      </c>
      <c r="L30" s="141">
        <v>3745994</v>
      </c>
      <c r="M30" s="141">
        <v>4688592</v>
      </c>
      <c r="N30" s="141">
        <v>3478668</v>
      </c>
      <c r="O30" s="141">
        <v>4543584</v>
      </c>
      <c r="P30" s="141">
        <v>5461968</v>
      </c>
      <c r="Q30" s="141">
        <v>6090336</v>
      </c>
      <c r="R30" s="142">
        <f t="shared" si="2"/>
        <v>50350499</v>
      </c>
    </row>
    <row r="31" spans="1:18" x14ac:dyDescent="0.25">
      <c r="A31" s="46" t="s">
        <v>195</v>
      </c>
      <c r="B31" s="45" t="s">
        <v>336</v>
      </c>
      <c r="C31" s="141">
        <v>6000000</v>
      </c>
      <c r="D31" s="142"/>
      <c r="E31" s="141">
        <f t="shared" si="1"/>
        <v>6000000</v>
      </c>
      <c r="F31" s="141">
        <v>521450</v>
      </c>
      <c r="G31" s="141">
        <v>586600</v>
      </c>
      <c r="H31" s="141">
        <v>1173200</v>
      </c>
      <c r="I31" s="141">
        <v>968228</v>
      </c>
      <c r="J31" s="141">
        <v>1047652</v>
      </c>
      <c r="K31" s="141">
        <v>948722</v>
      </c>
      <c r="L31" s="141">
        <v>1178964</v>
      </c>
      <c r="M31" s="141">
        <v>785462</v>
      </c>
      <c r="N31" s="141">
        <v>654826</v>
      </c>
      <c r="O31" s="141">
        <v>1042832</v>
      </c>
      <c r="P31" s="141">
        <v>1238363</v>
      </c>
      <c r="Q31" s="141">
        <v>1368794</v>
      </c>
      <c r="R31" s="142">
        <f t="shared" si="2"/>
        <v>11515093</v>
      </c>
    </row>
    <row r="32" spans="1:18" x14ac:dyDescent="0.25">
      <c r="A32" s="46" t="s">
        <v>198</v>
      </c>
      <c r="B32" s="45" t="s">
        <v>337</v>
      </c>
      <c r="C32" s="141">
        <v>250000</v>
      </c>
      <c r="D32" s="142"/>
      <c r="E32" s="141">
        <f t="shared" si="1"/>
        <v>250000</v>
      </c>
      <c r="F32" s="141">
        <v>0</v>
      </c>
      <c r="G32" s="141">
        <v>50800</v>
      </c>
      <c r="H32" s="141">
        <v>16950</v>
      </c>
      <c r="I32" s="141">
        <v>29746</v>
      </c>
      <c r="J32" s="141">
        <v>16950</v>
      </c>
      <c r="K32" s="141">
        <v>29746</v>
      </c>
      <c r="L32" s="141">
        <v>16950</v>
      </c>
      <c r="M32" s="141">
        <v>16927</v>
      </c>
      <c r="N32" s="141">
        <v>16950</v>
      </c>
      <c r="O32" s="141">
        <v>67708</v>
      </c>
      <c r="P32" s="141">
        <v>0</v>
      </c>
      <c r="Q32" s="141">
        <v>0</v>
      </c>
      <c r="R32" s="142">
        <f t="shared" si="2"/>
        <v>262727</v>
      </c>
    </row>
    <row r="33" spans="1:18" x14ac:dyDescent="0.25">
      <c r="A33" s="46" t="s">
        <v>201</v>
      </c>
      <c r="B33" s="45" t="s">
        <v>193</v>
      </c>
      <c r="C33" s="141">
        <v>9500000</v>
      </c>
      <c r="D33" s="142"/>
      <c r="E33" s="141">
        <f t="shared" si="1"/>
        <v>9500000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141">
        <v>0</v>
      </c>
      <c r="P33" s="141">
        <v>841416</v>
      </c>
      <c r="Q33" s="141">
        <v>687456</v>
      </c>
      <c r="R33" s="142">
        <f t="shared" si="2"/>
        <v>1528872</v>
      </c>
    </row>
    <row r="34" spans="1:18" x14ac:dyDescent="0.25">
      <c r="A34" s="46" t="s">
        <v>204</v>
      </c>
      <c r="B34" s="45" t="s">
        <v>196</v>
      </c>
      <c r="C34" s="141">
        <v>110000</v>
      </c>
      <c r="D34" s="142"/>
      <c r="E34" s="141">
        <f t="shared" si="1"/>
        <v>110000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v>0</v>
      </c>
      <c r="M34" s="141">
        <v>0</v>
      </c>
      <c r="N34" s="141">
        <v>0</v>
      </c>
      <c r="O34" s="141">
        <v>0</v>
      </c>
      <c r="P34" s="141">
        <v>0</v>
      </c>
      <c r="Q34" s="141">
        <v>0</v>
      </c>
      <c r="R34" s="142">
        <f t="shared" si="2"/>
        <v>0</v>
      </c>
    </row>
    <row r="35" spans="1:18" x14ac:dyDescent="0.25">
      <c r="A35" s="46" t="s">
        <v>207</v>
      </c>
      <c r="B35" s="45" t="s">
        <v>338</v>
      </c>
      <c r="C35" s="141">
        <v>1000000</v>
      </c>
      <c r="D35" s="142"/>
      <c r="E35" s="141">
        <f t="shared" si="1"/>
        <v>1000000</v>
      </c>
      <c r="F35" s="141">
        <v>26050</v>
      </c>
      <c r="G35" s="141">
        <v>0</v>
      </c>
      <c r="H35" s="141">
        <v>52100</v>
      </c>
      <c r="I35" s="141">
        <v>26050</v>
      </c>
      <c r="J35" s="141">
        <v>26050</v>
      </c>
      <c r="K35" s="141">
        <v>26050</v>
      </c>
      <c r="L35" s="141">
        <v>0</v>
      </c>
      <c r="M35" s="141">
        <v>104108</v>
      </c>
      <c r="N35" s="141">
        <v>110844</v>
      </c>
      <c r="O35" s="141">
        <v>78081</v>
      </c>
      <c r="P35" s="141">
        <v>182189</v>
      </c>
      <c r="Q35" s="141">
        <v>130135</v>
      </c>
      <c r="R35" s="142">
        <f t="shared" si="2"/>
        <v>761657</v>
      </c>
    </row>
    <row r="36" spans="1:18" x14ac:dyDescent="0.25">
      <c r="A36" s="46" t="s">
        <v>210</v>
      </c>
      <c r="B36" s="45" t="s">
        <v>166</v>
      </c>
      <c r="C36" s="141">
        <v>3850000</v>
      </c>
      <c r="D36" s="142"/>
      <c r="E36" s="141">
        <f t="shared" si="1"/>
        <v>3850000</v>
      </c>
      <c r="F36" s="141">
        <v>81100</v>
      </c>
      <c r="G36" s="141">
        <v>972900</v>
      </c>
      <c r="H36" s="141">
        <v>1540450</v>
      </c>
      <c r="I36" s="141">
        <v>1487944</v>
      </c>
      <c r="J36" s="141">
        <v>974622</v>
      </c>
      <c r="K36" s="141">
        <v>852379</v>
      </c>
      <c r="L36" s="141">
        <v>784638</v>
      </c>
      <c r="M36" s="141">
        <v>162150</v>
      </c>
      <c r="N36" s="141">
        <v>325846</v>
      </c>
      <c r="O36" s="141">
        <v>81075</v>
      </c>
      <c r="P36" s="141">
        <v>81075</v>
      </c>
      <c r="Q36" s="141">
        <v>324300</v>
      </c>
      <c r="R36" s="142">
        <f t="shared" si="2"/>
        <v>7668479</v>
      </c>
    </row>
    <row r="37" spans="1:18" x14ac:dyDescent="0.25">
      <c r="A37" s="46" t="s">
        <v>213</v>
      </c>
      <c r="B37" s="45" t="s">
        <v>187</v>
      </c>
      <c r="C37" s="141">
        <v>2500000</v>
      </c>
      <c r="D37" s="142"/>
      <c r="E37" s="141">
        <f t="shared" si="1"/>
        <v>2500000</v>
      </c>
      <c r="F37" s="141">
        <v>0</v>
      </c>
      <c r="G37" s="141">
        <v>289300</v>
      </c>
      <c r="H37" s="141">
        <v>144650</v>
      </c>
      <c r="I37" s="141">
        <v>189548</v>
      </c>
      <c r="J37" s="141">
        <v>204344</v>
      </c>
      <c r="K37" s="141">
        <v>192678</v>
      </c>
      <c r="L37" s="141">
        <v>146876</v>
      </c>
      <c r="M37" s="141">
        <v>361580</v>
      </c>
      <c r="N37" s="141">
        <v>124988</v>
      </c>
      <c r="O37" s="141">
        <v>216948</v>
      </c>
      <c r="P37" s="141">
        <v>361580</v>
      </c>
      <c r="Q37" s="141">
        <v>578528</v>
      </c>
      <c r="R37" s="142">
        <f t="shared" si="2"/>
        <v>2811020</v>
      </c>
    </row>
    <row r="38" spans="1:18" x14ac:dyDescent="0.25">
      <c r="A38" s="46" t="s">
        <v>216</v>
      </c>
      <c r="B38" s="45" t="s">
        <v>339</v>
      </c>
      <c r="C38" s="141">
        <v>500000</v>
      </c>
      <c r="D38" s="142"/>
      <c r="E38" s="141">
        <f t="shared" si="1"/>
        <v>500000</v>
      </c>
      <c r="F38" s="141">
        <v>0</v>
      </c>
      <c r="G38" s="141">
        <v>0</v>
      </c>
      <c r="H38" s="141">
        <v>43450</v>
      </c>
      <c r="I38" s="141">
        <v>0</v>
      </c>
      <c r="J38" s="141">
        <v>0</v>
      </c>
      <c r="K38" s="141">
        <v>0</v>
      </c>
      <c r="L38" s="141">
        <v>0</v>
      </c>
      <c r="M38" s="141">
        <v>130281</v>
      </c>
      <c r="N38" s="141">
        <v>78564</v>
      </c>
      <c r="O38" s="141">
        <v>86854</v>
      </c>
      <c r="P38" s="141">
        <v>43427</v>
      </c>
      <c r="Q38" s="141">
        <v>86854</v>
      </c>
      <c r="R38" s="142">
        <f t="shared" si="2"/>
        <v>469430</v>
      </c>
    </row>
    <row r="39" spans="1:18" x14ac:dyDescent="0.25">
      <c r="A39" s="46" t="s">
        <v>219</v>
      </c>
      <c r="B39" s="45" t="s">
        <v>199</v>
      </c>
      <c r="C39" s="141">
        <v>3500000</v>
      </c>
      <c r="D39" s="142"/>
      <c r="E39" s="141">
        <f t="shared" si="1"/>
        <v>3500000</v>
      </c>
      <c r="F39" s="141">
        <v>81900</v>
      </c>
      <c r="G39" s="141">
        <v>327500</v>
      </c>
      <c r="H39" s="141">
        <v>654950</v>
      </c>
      <c r="I39" s="141">
        <v>284266</v>
      </c>
      <c r="J39" s="141">
        <v>354782</v>
      </c>
      <c r="K39" s="141">
        <v>198524</v>
      </c>
      <c r="L39" s="141">
        <v>205876</v>
      </c>
      <c r="M39" s="141">
        <v>245595</v>
      </c>
      <c r="N39" s="141">
        <v>192568</v>
      </c>
      <c r="O39" s="141">
        <v>81865</v>
      </c>
      <c r="P39" s="141">
        <v>245595</v>
      </c>
      <c r="Q39" s="141">
        <v>245595</v>
      </c>
      <c r="R39" s="142">
        <f t="shared" si="2"/>
        <v>3119016</v>
      </c>
    </row>
    <row r="40" spans="1:18" x14ac:dyDescent="0.25">
      <c r="A40" s="46" t="s">
        <v>222</v>
      </c>
      <c r="B40" s="45" t="s">
        <v>340</v>
      </c>
      <c r="C40" s="141">
        <v>1200000</v>
      </c>
      <c r="D40" s="142"/>
      <c r="E40" s="141">
        <f t="shared" si="1"/>
        <v>1200000</v>
      </c>
      <c r="F40" s="141">
        <v>2033050</v>
      </c>
      <c r="G40" s="141">
        <v>64850</v>
      </c>
      <c r="H40" s="141">
        <v>64850</v>
      </c>
      <c r="I40" s="141">
        <f>H40*2</f>
        <v>129700</v>
      </c>
      <c r="J40" s="141">
        <v>64850</v>
      </c>
      <c r="K40" s="141">
        <v>0</v>
      </c>
      <c r="L40" s="141">
        <v>0</v>
      </c>
      <c r="M40" s="141">
        <v>64842</v>
      </c>
      <c r="N40" s="141">
        <v>0</v>
      </c>
      <c r="O40" s="141">
        <v>0</v>
      </c>
      <c r="P40" s="141">
        <f>32421+199935+959</f>
        <v>233315</v>
      </c>
      <c r="Q40" s="141">
        <v>97263</v>
      </c>
      <c r="R40" s="142">
        <f t="shared" si="2"/>
        <v>2752720</v>
      </c>
    </row>
    <row r="41" spans="1:18" x14ac:dyDescent="0.25">
      <c r="A41" s="46" t="s">
        <v>296</v>
      </c>
      <c r="B41" s="45" t="s">
        <v>341</v>
      </c>
      <c r="C41" s="141">
        <v>1000000</v>
      </c>
      <c r="D41" s="142"/>
      <c r="E41" s="141">
        <f t="shared" si="1"/>
        <v>1000000</v>
      </c>
      <c r="F41" s="141">
        <v>2435850</v>
      </c>
      <c r="G41" s="141">
        <v>4526000</v>
      </c>
      <c r="H41" s="141">
        <v>4647150</v>
      </c>
      <c r="I41" s="141">
        <v>4875244</v>
      </c>
      <c r="J41" s="141">
        <v>4228769</v>
      </c>
      <c r="K41" s="141">
        <v>3987542</v>
      </c>
      <c r="L41" s="141">
        <v>4064988</v>
      </c>
      <c r="M41" s="141">
        <v>1012400</v>
      </c>
      <c r="N41" s="141">
        <v>2587694</v>
      </c>
      <c r="O41" s="141">
        <f>1235128+90710</f>
        <v>1325838</v>
      </c>
      <c r="P41" s="141">
        <f>769424+90710</f>
        <v>860134</v>
      </c>
      <c r="Q41" s="141">
        <f>688842+90710</f>
        <v>779552</v>
      </c>
      <c r="R41" s="142">
        <f t="shared" si="2"/>
        <v>35331161</v>
      </c>
    </row>
    <row r="42" spans="1:18" x14ac:dyDescent="0.25">
      <c r="A42" s="46" t="s">
        <v>297</v>
      </c>
      <c r="B42" s="45" t="s">
        <v>342</v>
      </c>
      <c r="C42" s="141">
        <v>77000000</v>
      </c>
      <c r="D42" s="142"/>
      <c r="E42" s="141">
        <f t="shared" si="1"/>
        <v>77000000</v>
      </c>
      <c r="F42" s="141">
        <v>798750</v>
      </c>
      <c r="G42" s="141">
        <v>2509100</v>
      </c>
      <c r="H42" s="141">
        <v>2326450</v>
      </c>
      <c r="I42" s="141">
        <v>1987564</v>
      </c>
      <c r="J42" s="141">
        <v>2147246</v>
      </c>
      <c r="K42" s="141">
        <v>2031485</v>
      </c>
      <c r="L42" s="141">
        <v>3086558</v>
      </c>
      <c r="M42" s="141">
        <v>1027404</v>
      </c>
      <c r="N42" s="141">
        <v>1456878</v>
      </c>
      <c r="O42" s="141">
        <f>2987654+185125</f>
        <v>3172779</v>
      </c>
      <c r="P42" s="141">
        <v>3458769</v>
      </c>
      <c r="Q42" s="141">
        <v>1223935</v>
      </c>
      <c r="R42" s="142">
        <f t="shared" si="2"/>
        <v>25226918</v>
      </c>
    </row>
    <row r="43" spans="1:18" x14ac:dyDescent="0.25">
      <c r="A43" s="46" t="s">
        <v>225</v>
      </c>
      <c r="B43" s="45" t="s">
        <v>343</v>
      </c>
      <c r="C43" s="141">
        <v>40000000</v>
      </c>
      <c r="D43" s="142"/>
      <c r="E43" s="141">
        <f t="shared" si="1"/>
        <v>40000000</v>
      </c>
      <c r="F43" s="141">
        <v>0</v>
      </c>
      <c r="G43" s="141">
        <v>6458000</v>
      </c>
      <c r="H43" s="141">
        <v>6365550</v>
      </c>
      <c r="I43" s="141">
        <v>5987554</v>
      </c>
      <c r="J43" s="141">
        <v>5763424</v>
      </c>
      <c r="K43" s="141">
        <v>3247894</v>
      </c>
      <c r="L43" s="141">
        <v>3478964</v>
      </c>
      <c r="M43" s="141">
        <v>2014756</v>
      </c>
      <c r="N43" s="141">
        <v>2356772</v>
      </c>
      <c r="O43" s="141">
        <v>4974250</v>
      </c>
      <c r="P43" s="141">
        <f>9510111-P42</f>
        <v>6051342</v>
      </c>
      <c r="Q43" s="141">
        <v>1950014</v>
      </c>
      <c r="R43" s="142">
        <f t="shared" si="2"/>
        <v>48648520</v>
      </c>
    </row>
    <row r="44" spans="1:18" x14ac:dyDescent="0.25">
      <c r="A44" s="46" t="s">
        <v>228</v>
      </c>
      <c r="B44" s="45" t="s">
        <v>344</v>
      </c>
      <c r="C44" s="141">
        <v>27500000</v>
      </c>
      <c r="D44" s="142"/>
      <c r="E44" s="141">
        <f t="shared" si="1"/>
        <v>27500000</v>
      </c>
      <c r="F44" s="141">
        <v>816400</v>
      </c>
      <c r="G44" s="141">
        <v>816400</v>
      </c>
      <c r="H44" s="141">
        <v>1106100</v>
      </c>
      <c r="I44" s="141">
        <v>996725</v>
      </c>
      <c r="J44" s="141">
        <v>874628</v>
      </c>
      <c r="K44" s="141">
        <v>1045784</v>
      </c>
      <c r="L44" s="141">
        <v>962554</v>
      </c>
      <c r="M44" s="141">
        <v>1316750</v>
      </c>
      <c r="N44" s="141">
        <v>1465882</v>
      </c>
      <c r="O44" s="141">
        <v>1553765</v>
      </c>
      <c r="P44" s="141">
        <v>974395</v>
      </c>
      <c r="Q44" s="141">
        <v>1632770</v>
      </c>
      <c r="R44" s="142">
        <f t="shared" si="2"/>
        <v>13562153</v>
      </c>
    </row>
    <row r="45" spans="1:18" x14ac:dyDescent="0.25">
      <c r="A45" s="46" t="s">
        <v>231</v>
      </c>
      <c r="B45" s="45" t="s">
        <v>345</v>
      </c>
      <c r="C45" s="141">
        <v>18560000</v>
      </c>
      <c r="D45" s="142"/>
      <c r="E45" s="141">
        <f t="shared" si="1"/>
        <v>18560000</v>
      </c>
      <c r="F45" s="141">
        <v>0</v>
      </c>
      <c r="G45" s="141">
        <v>0</v>
      </c>
      <c r="H45" s="141">
        <v>2321900</v>
      </c>
      <c r="I45" s="141">
        <v>2058746</v>
      </c>
      <c r="J45" s="141">
        <v>2473428</v>
      </c>
      <c r="K45" s="141">
        <v>1658726</v>
      </c>
      <c r="L45" s="141">
        <v>2169746</v>
      </c>
      <c r="M45" s="141">
        <f>26329+134820</f>
        <v>161149</v>
      </c>
      <c r="N45" s="141">
        <v>95874</v>
      </c>
      <c r="O45" s="141">
        <f>3288110+8814</f>
        <v>3296924</v>
      </c>
      <c r="P45" s="141">
        <f>10735+2284450</f>
        <v>2295185</v>
      </c>
      <c r="Q45" s="141">
        <f>2712+2722615</f>
        <v>2725327</v>
      </c>
      <c r="R45" s="142">
        <f t="shared" si="2"/>
        <v>19257005</v>
      </c>
    </row>
    <row r="46" spans="1:18" x14ac:dyDescent="0.25">
      <c r="A46" s="46" t="s">
        <v>234</v>
      </c>
      <c r="B46" s="45" t="s">
        <v>220</v>
      </c>
      <c r="C46" s="141">
        <v>2420000</v>
      </c>
      <c r="D46" s="142"/>
      <c r="E46" s="141">
        <f t="shared" si="1"/>
        <v>2420000</v>
      </c>
      <c r="F46" s="141">
        <v>0</v>
      </c>
      <c r="G46" s="141">
        <v>19400</v>
      </c>
      <c r="H46" s="141">
        <v>0</v>
      </c>
      <c r="I46" s="141">
        <v>0</v>
      </c>
      <c r="J46" s="141">
        <v>0</v>
      </c>
      <c r="K46" s="141">
        <v>0</v>
      </c>
      <c r="L46" s="141">
        <v>0</v>
      </c>
      <c r="M46" s="141">
        <v>0</v>
      </c>
      <c r="N46" s="141">
        <v>0</v>
      </c>
      <c r="O46" s="141">
        <v>0</v>
      </c>
      <c r="P46" s="141">
        <v>0</v>
      </c>
      <c r="Q46" s="141">
        <v>0</v>
      </c>
      <c r="R46" s="142">
        <f t="shared" si="2"/>
        <v>19400</v>
      </c>
    </row>
    <row r="47" spans="1:18" x14ac:dyDescent="0.25">
      <c r="A47" s="46" t="s">
        <v>237</v>
      </c>
      <c r="B47" s="45" t="s">
        <v>346</v>
      </c>
      <c r="C47" s="141">
        <v>2420000</v>
      </c>
      <c r="D47" s="142"/>
      <c r="E47" s="141">
        <f t="shared" si="1"/>
        <v>2420000</v>
      </c>
      <c r="F47" s="141">
        <v>0</v>
      </c>
      <c r="G47" s="141">
        <v>0</v>
      </c>
      <c r="H47" s="141">
        <v>0</v>
      </c>
      <c r="I47" s="141">
        <v>0</v>
      </c>
      <c r="J47" s="141">
        <v>0</v>
      </c>
      <c r="K47" s="141">
        <v>0</v>
      </c>
      <c r="L47" s="141">
        <v>0</v>
      </c>
      <c r="M47" s="141">
        <v>0</v>
      </c>
      <c r="N47" s="141">
        <v>0</v>
      </c>
      <c r="O47" s="141">
        <v>0</v>
      </c>
      <c r="P47" s="141">
        <v>0</v>
      </c>
      <c r="Q47" s="141">
        <v>0</v>
      </c>
      <c r="R47" s="142">
        <f t="shared" si="2"/>
        <v>0</v>
      </c>
    </row>
    <row r="48" spans="1:18" x14ac:dyDescent="0.25">
      <c r="A48" s="46" t="s">
        <v>240</v>
      </c>
      <c r="B48" s="45" t="s">
        <v>347</v>
      </c>
      <c r="C48" s="141">
        <v>3000000</v>
      </c>
      <c r="D48" s="142"/>
      <c r="E48" s="141">
        <f t="shared" si="1"/>
        <v>3000000</v>
      </c>
      <c r="F48" s="141">
        <v>627700</v>
      </c>
      <c r="G48" s="141">
        <v>647950</v>
      </c>
      <c r="H48" s="141">
        <v>850450</v>
      </c>
      <c r="I48" s="141">
        <v>745628</v>
      </c>
      <c r="J48" s="141">
        <v>804162</v>
      </c>
      <c r="K48" s="141">
        <v>358762</v>
      </c>
      <c r="L48" s="141">
        <v>789556</v>
      </c>
      <c r="M48" s="141">
        <v>1130640</v>
      </c>
      <c r="N48" s="141">
        <v>985746</v>
      </c>
      <c r="O48" s="141">
        <v>1235128</v>
      </c>
      <c r="P48" s="141">
        <v>498756</v>
      </c>
      <c r="Q48" s="141">
        <v>352471</v>
      </c>
      <c r="R48" s="142">
        <f t="shared" si="2"/>
        <v>9026949</v>
      </c>
    </row>
    <row r="49" spans="1:18" x14ac:dyDescent="0.25">
      <c r="A49" s="46" t="s">
        <v>348</v>
      </c>
      <c r="B49" s="45" t="s">
        <v>349</v>
      </c>
      <c r="C49" s="141">
        <v>5000000</v>
      </c>
      <c r="D49" s="142"/>
      <c r="E49" s="141">
        <f t="shared" si="1"/>
        <v>5000000</v>
      </c>
      <c r="F49" s="141">
        <v>0</v>
      </c>
      <c r="G49" s="141">
        <v>0</v>
      </c>
      <c r="H49" s="141">
        <v>0</v>
      </c>
      <c r="I49" s="141">
        <v>0</v>
      </c>
      <c r="J49" s="141">
        <v>0</v>
      </c>
      <c r="K49" s="141">
        <v>0</v>
      </c>
      <c r="L49" s="141">
        <v>0</v>
      </c>
      <c r="M49" s="141"/>
      <c r="N49" s="141">
        <v>0</v>
      </c>
      <c r="O49" s="141">
        <v>0</v>
      </c>
      <c r="P49" s="141">
        <v>0</v>
      </c>
      <c r="Q49" s="141">
        <v>0</v>
      </c>
      <c r="R49" s="142">
        <f t="shared" si="2"/>
        <v>0</v>
      </c>
    </row>
    <row r="50" spans="1:18" x14ac:dyDescent="0.25">
      <c r="A50" s="46" t="s">
        <v>350</v>
      </c>
      <c r="B50" s="45" t="s">
        <v>351</v>
      </c>
      <c r="C50" s="141">
        <v>1000000</v>
      </c>
      <c r="D50" s="142"/>
      <c r="E50" s="141">
        <f t="shared" si="1"/>
        <v>1000000</v>
      </c>
      <c r="F50" s="141">
        <v>0</v>
      </c>
      <c r="G50" s="141">
        <v>0</v>
      </c>
      <c r="H50" s="141">
        <v>0</v>
      </c>
      <c r="I50" s="141">
        <v>0</v>
      </c>
      <c r="J50" s="141">
        <v>0</v>
      </c>
      <c r="K50" s="141">
        <v>0</v>
      </c>
      <c r="L50" s="141">
        <v>0</v>
      </c>
      <c r="M50" s="141"/>
      <c r="N50" s="141">
        <v>0</v>
      </c>
      <c r="O50" s="141">
        <v>0</v>
      </c>
      <c r="P50" s="141">
        <v>0</v>
      </c>
      <c r="Q50" s="141">
        <v>0</v>
      </c>
      <c r="R50" s="142">
        <f t="shared" si="2"/>
        <v>0</v>
      </c>
    </row>
    <row r="51" spans="1:18" x14ac:dyDescent="0.25">
      <c r="A51" s="46" t="s">
        <v>352</v>
      </c>
      <c r="B51" s="45" t="s">
        <v>353</v>
      </c>
      <c r="C51" s="141">
        <v>1000000</v>
      </c>
      <c r="D51" s="142"/>
      <c r="E51" s="141">
        <f t="shared" si="1"/>
        <v>1000000</v>
      </c>
      <c r="F51" s="141">
        <v>0</v>
      </c>
      <c r="G51" s="141">
        <v>0</v>
      </c>
      <c r="H51" s="141">
        <v>0</v>
      </c>
      <c r="I51" s="141">
        <v>0</v>
      </c>
      <c r="J51" s="141">
        <v>0</v>
      </c>
      <c r="K51" s="141">
        <v>0</v>
      </c>
      <c r="L51" s="141">
        <v>0</v>
      </c>
      <c r="M51" s="141"/>
      <c r="N51" s="141">
        <v>0</v>
      </c>
      <c r="O51" s="141">
        <v>0</v>
      </c>
      <c r="P51" s="141">
        <v>0</v>
      </c>
      <c r="Q51" s="141">
        <v>0</v>
      </c>
      <c r="R51" s="142">
        <f t="shared" si="2"/>
        <v>0</v>
      </c>
    </row>
    <row r="52" spans="1:18" x14ac:dyDescent="0.25">
      <c r="A52" s="46" t="s">
        <v>354</v>
      </c>
      <c r="B52" s="45" t="s">
        <v>355</v>
      </c>
      <c r="C52" s="141">
        <v>1100000</v>
      </c>
      <c r="D52" s="142"/>
      <c r="E52" s="141">
        <f t="shared" si="1"/>
        <v>1100000</v>
      </c>
      <c r="F52" s="141">
        <v>0</v>
      </c>
      <c r="G52" s="141">
        <v>0</v>
      </c>
      <c r="H52" s="141">
        <v>0</v>
      </c>
      <c r="I52" s="141">
        <v>0</v>
      </c>
      <c r="J52" s="141">
        <v>0</v>
      </c>
      <c r="K52" s="141">
        <v>0</v>
      </c>
      <c r="L52" s="141">
        <v>0</v>
      </c>
      <c r="M52" s="141"/>
      <c r="N52" s="141">
        <v>0</v>
      </c>
      <c r="O52" s="141">
        <v>0</v>
      </c>
      <c r="P52" s="141">
        <v>0</v>
      </c>
      <c r="Q52" s="141">
        <v>0</v>
      </c>
      <c r="R52" s="142">
        <f t="shared" si="2"/>
        <v>0</v>
      </c>
    </row>
    <row r="53" spans="1:18" x14ac:dyDescent="0.25">
      <c r="A53" s="46" t="s">
        <v>356</v>
      </c>
      <c r="B53" s="45" t="s">
        <v>357</v>
      </c>
      <c r="C53" s="141">
        <v>3000000</v>
      </c>
      <c r="D53" s="142"/>
      <c r="E53" s="141">
        <f t="shared" si="1"/>
        <v>3000000</v>
      </c>
      <c r="F53" s="141">
        <v>0</v>
      </c>
      <c r="G53" s="141">
        <v>0</v>
      </c>
      <c r="H53" s="141">
        <v>0</v>
      </c>
      <c r="I53" s="141">
        <v>0</v>
      </c>
      <c r="J53" s="141">
        <v>0</v>
      </c>
      <c r="K53" s="141">
        <v>0</v>
      </c>
      <c r="L53" s="141">
        <v>86944</v>
      </c>
      <c r="M53" s="141">
        <v>28954</v>
      </c>
      <c r="N53" s="141">
        <v>75684</v>
      </c>
      <c r="O53" s="141">
        <v>18945</v>
      </c>
      <c r="P53" s="141">
        <f>O53*2</f>
        <v>37890</v>
      </c>
      <c r="Q53" s="141">
        <v>16372</v>
      </c>
      <c r="R53" s="142">
        <f t="shared" si="2"/>
        <v>264789</v>
      </c>
    </row>
    <row r="54" spans="1:18" x14ac:dyDescent="0.25">
      <c r="A54" s="46" t="s">
        <v>358</v>
      </c>
      <c r="B54" s="45" t="s">
        <v>359</v>
      </c>
      <c r="C54" s="141">
        <v>1000000</v>
      </c>
      <c r="D54" s="142"/>
      <c r="E54" s="141">
        <f t="shared" si="1"/>
        <v>1000000</v>
      </c>
      <c r="F54" s="141">
        <v>0</v>
      </c>
      <c r="G54" s="141">
        <v>0</v>
      </c>
      <c r="H54" s="141">
        <v>0</v>
      </c>
      <c r="I54" s="141">
        <v>0</v>
      </c>
      <c r="J54" s="141">
        <v>0</v>
      </c>
      <c r="K54" s="141">
        <v>0</v>
      </c>
      <c r="L54" s="141">
        <v>0</v>
      </c>
      <c r="M54" s="141">
        <v>0</v>
      </c>
      <c r="N54" s="141">
        <v>0</v>
      </c>
      <c r="O54" s="141">
        <v>0</v>
      </c>
      <c r="P54" s="141">
        <v>0</v>
      </c>
      <c r="Q54" s="141">
        <v>0</v>
      </c>
      <c r="R54" s="142">
        <f t="shared" si="2"/>
        <v>0</v>
      </c>
    </row>
    <row r="55" spans="1:18" x14ac:dyDescent="0.25">
      <c r="A55" s="46" t="s">
        <v>360</v>
      </c>
      <c r="B55" s="45" t="s">
        <v>361</v>
      </c>
      <c r="C55" s="141">
        <v>2000000</v>
      </c>
      <c r="D55" s="142"/>
      <c r="E55" s="141">
        <f t="shared" si="1"/>
        <v>2000000</v>
      </c>
      <c r="F55" s="141">
        <v>0</v>
      </c>
      <c r="G55" s="141">
        <v>0</v>
      </c>
      <c r="H55" s="141">
        <v>0</v>
      </c>
      <c r="I55" s="141">
        <v>0</v>
      </c>
      <c r="J55" s="141">
        <v>0</v>
      </c>
      <c r="K55" s="141">
        <v>0</v>
      </c>
      <c r="L55" s="141">
        <v>0</v>
      </c>
      <c r="M55" s="141">
        <v>0</v>
      </c>
      <c r="N55" s="141">
        <v>0</v>
      </c>
      <c r="O55" s="141">
        <v>0</v>
      </c>
      <c r="P55" s="141">
        <v>0</v>
      </c>
      <c r="Q55" s="141">
        <v>0</v>
      </c>
      <c r="R55" s="142">
        <f t="shared" si="2"/>
        <v>0</v>
      </c>
    </row>
    <row r="56" spans="1:18" x14ac:dyDescent="0.25">
      <c r="A56" s="46" t="s">
        <v>362</v>
      </c>
      <c r="B56" s="45" t="s">
        <v>363</v>
      </c>
      <c r="C56" s="141">
        <v>100000</v>
      </c>
      <c r="D56" s="142"/>
      <c r="E56" s="141">
        <f t="shared" si="1"/>
        <v>100000</v>
      </c>
      <c r="F56" s="141">
        <v>0</v>
      </c>
      <c r="G56" s="141">
        <v>0</v>
      </c>
      <c r="H56" s="141">
        <v>45400</v>
      </c>
      <c r="I56" s="141">
        <v>0</v>
      </c>
      <c r="J56" s="141">
        <v>0</v>
      </c>
      <c r="K56" s="141">
        <v>0</v>
      </c>
      <c r="L56" s="141">
        <v>0</v>
      </c>
      <c r="M56" s="141">
        <v>0</v>
      </c>
      <c r="N56" s="141">
        <v>0</v>
      </c>
      <c r="O56" s="141">
        <v>0</v>
      </c>
      <c r="P56" s="141">
        <v>0</v>
      </c>
      <c r="Q56" s="141">
        <v>0</v>
      </c>
      <c r="R56" s="142">
        <f t="shared" si="2"/>
        <v>45400</v>
      </c>
    </row>
    <row r="57" spans="1:18" x14ac:dyDescent="0.25">
      <c r="A57" s="46" t="s">
        <v>364</v>
      </c>
      <c r="B57" s="45" t="s">
        <v>365</v>
      </c>
      <c r="C57" s="141">
        <v>100000</v>
      </c>
      <c r="D57" s="142"/>
      <c r="E57" s="141">
        <f t="shared" si="1"/>
        <v>100000</v>
      </c>
      <c r="F57" s="141">
        <v>0</v>
      </c>
      <c r="G57" s="141">
        <v>0</v>
      </c>
      <c r="H57" s="141">
        <v>0</v>
      </c>
      <c r="I57" s="141">
        <v>0</v>
      </c>
      <c r="J57" s="141">
        <v>0</v>
      </c>
      <c r="K57" s="141">
        <v>0</v>
      </c>
      <c r="L57" s="141">
        <v>0</v>
      </c>
      <c r="M57" s="141">
        <v>0</v>
      </c>
      <c r="N57" s="141">
        <v>0</v>
      </c>
      <c r="O57" s="141">
        <v>0</v>
      </c>
      <c r="P57" s="141">
        <v>0</v>
      </c>
      <c r="Q57" s="141">
        <v>0</v>
      </c>
      <c r="R57" s="142">
        <f t="shared" si="2"/>
        <v>0</v>
      </c>
    </row>
    <row r="58" spans="1:18" x14ac:dyDescent="0.25">
      <c r="A58" s="46" t="s">
        <v>366</v>
      </c>
      <c r="B58" s="45" t="s">
        <v>367</v>
      </c>
      <c r="C58" s="141">
        <v>1000000</v>
      </c>
      <c r="D58" s="142"/>
      <c r="E58" s="141">
        <f t="shared" si="1"/>
        <v>1000000</v>
      </c>
      <c r="F58" s="141">
        <v>0</v>
      </c>
      <c r="G58" s="141">
        <v>0</v>
      </c>
      <c r="H58" s="141">
        <v>0</v>
      </c>
      <c r="I58" s="141">
        <v>0</v>
      </c>
      <c r="J58" s="141">
        <v>0</v>
      </c>
      <c r="K58" s="141">
        <v>0</v>
      </c>
      <c r="L58" s="141">
        <v>0</v>
      </c>
      <c r="M58" s="141">
        <v>0</v>
      </c>
      <c r="N58" s="141">
        <v>0</v>
      </c>
      <c r="O58" s="141">
        <v>0</v>
      </c>
      <c r="P58" s="141">
        <v>0</v>
      </c>
      <c r="Q58" s="141">
        <v>0</v>
      </c>
      <c r="R58" s="142">
        <f t="shared" si="2"/>
        <v>0</v>
      </c>
    </row>
    <row r="59" spans="1:18" x14ac:dyDescent="0.25">
      <c r="A59" s="46" t="s">
        <v>368</v>
      </c>
      <c r="B59" s="45" t="s">
        <v>369</v>
      </c>
      <c r="C59" s="141">
        <v>100000</v>
      </c>
      <c r="D59" s="142"/>
      <c r="E59" s="141">
        <f t="shared" si="1"/>
        <v>100000</v>
      </c>
      <c r="F59" s="141">
        <v>0</v>
      </c>
      <c r="G59" s="141">
        <v>70650</v>
      </c>
      <c r="H59" s="141">
        <v>0</v>
      </c>
      <c r="I59" s="141">
        <v>0</v>
      </c>
      <c r="J59" s="141">
        <v>0</v>
      </c>
      <c r="K59" s="141">
        <v>0</v>
      </c>
      <c r="L59" s="141">
        <v>0</v>
      </c>
      <c r="M59" s="141">
        <v>141234</v>
      </c>
      <c r="N59" s="141">
        <v>0</v>
      </c>
      <c r="O59" s="141">
        <v>0</v>
      </c>
      <c r="P59" s="141">
        <v>0</v>
      </c>
      <c r="Q59" s="141">
        <v>0</v>
      </c>
      <c r="R59" s="142">
        <f t="shared" si="2"/>
        <v>211884</v>
      </c>
    </row>
    <row r="60" spans="1:18" x14ac:dyDescent="0.25">
      <c r="A60" s="46" t="s">
        <v>370</v>
      </c>
      <c r="B60" s="45" t="s">
        <v>371</v>
      </c>
      <c r="C60" s="141">
        <v>300000</v>
      </c>
      <c r="D60" s="142"/>
      <c r="E60" s="141">
        <f t="shared" si="1"/>
        <v>300000</v>
      </c>
      <c r="F60" s="141">
        <v>0</v>
      </c>
      <c r="G60" s="141">
        <v>0</v>
      </c>
      <c r="H60" s="141">
        <v>0</v>
      </c>
      <c r="I60" s="141">
        <v>0</v>
      </c>
      <c r="J60" s="141">
        <v>0</v>
      </c>
      <c r="K60" s="141">
        <v>0</v>
      </c>
      <c r="L60" s="141">
        <v>0</v>
      </c>
      <c r="M60" s="141">
        <v>0</v>
      </c>
      <c r="N60" s="141">
        <v>0</v>
      </c>
      <c r="O60" s="141">
        <v>0</v>
      </c>
      <c r="P60" s="141">
        <v>0</v>
      </c>
      <c r="Q60" s="141">
        <v>0</v>
      </c>
      <c r="R60" s="142">
        <f t="shared" si="2"/>
        <v>0</v>
      </c>
    </row>
    <row r="61" spans="1:18" x14ac:dyDescent="0.25">
      <c r="A61" s="46" t="s">
        <v>372</v>
      </c>
      <c r="B61" s="45" t="s">
        <v>373</v>
      </c>
      <c r="C61" s="141">
        <v>100000</v>
      </c>
      <c r="D61" s="142"/>
      <c r="E61" s="141">
        <f t="shared" si="1"/>
        <v>100000</v>
      </c>
      <c r="F61" s="141">
        <v>0</v>
      </c>
      <c r="G61" s="141">
        <v>0</v>
      </c>
      <c r="H61" s="141">
        <v>0</v>
      </c>
      <c r="I61" s="141">
        <v>0</v>
      </c>
      <c r="J61" s="141">
        <v>0</v>
      </c>
      <c r="K61" s="141">
        <v>0</v>
      </c>
      <c r="L61" s="141">
        <v>0</v>
      </c>
      <c r="M61" s="141">
        <v>0</v>
      </c>
      <c r="N61" s="141">
        <v>0</v>
      </c>
      <c r="O61" s="141">
        <v>0</v>
      </c>
      <c r="P61" s="141">
        <v>0</v>
      </c>
      <c r="Q61" s="141">
        <v>0</v>
      </c>
      <c r="R61" s="142">
        <f t="shared" si="2"/>
        <v>0</v>
      </c>
    </row>
    <row r="62" spans="1:18" x14ac:dyDescent="0.25">
      <c r="A62" s="46" t="s">
        <v>374</v>
      </c>
      <c r="B62" s="45" t="s">
        <v>375</v>
      </c>
      <c r="C62" s="141">
        <v>70000</v>
      </c>
      <c r="D62" s="142"/>
      <c r="E62" s="141">
        <f t="shared" si="1"/>
        <v>70000</v>
      </c>
      <c r="F62" s="141">
        <v>0</v>
      </c>
      <c r="G62" s="141">
        <v>0</v>
      </c>
      <c r="H62" s="141">
        <v>0</v>
      </c>
      <c r="I62" s="141">
        <v>0</v>
      </c>
      <c r="J62" s="141">
        <v>0</v>
      </c>
      <c r="K62" s="141">
        <v>0</v>
      </c>
      <c r="L62" s="141">
        <v>0</v>
      </c>
      <c r="M62" s="141">
        <v>0</v>
      </c>
      <c r="N62" s="141">
        <v>0</v>
      </c>
      <c r="O62" s="141">
        <v>0</v>
      </c>
      <c r="P62" s="141">
        <v>0</v>
      </c>
      <c r="Q62" s="141">
        <v>0</v>
      </c>
      <c r="R62" s="142">
        <f t="shared" si="2"/>
        <v>0</v>
      </c>
    </row>
    <row r="63" spans="1:18" x14ac:dyDescent="0.25">
      <c r="A63" s="46" t="s">
        <v>376</v>
      </c>
      <c r="B63" s="45" t="s">
        <v>377</v>
      </c>
      <c r="C63" s="141">
        <v>130000</v>
      </c>
      <c r="D63" s="142"/>
      <c r="E63" s="141">
        <f t="shared" si="1"/>
        <v>130000</v>
      </c>
      <c r="F63" s="141">
        <v>0</v>
      </c>
      <c r="G63" s="141">
        <v>0</v>
      </c>
      <c r="H63" s="141">
        <v>0</v>
      </c>
      <c r="I63" s="141">
        <v>0</v>
      </c>
      <c r="J63" s="141">
        <v>0</v>
      </c>
      <c r="K63" s="141">
        <v>0</v>
      </c>
      <c r="L63" s="141">
        <v>0</v>
      </c>
      <c r="M63" s="141">
        <v>0</v>
      </c>
      <c r="N63" s="141">
        <v>0</v>
      </c>
      <c r="O63" s="141">
        <v>0</v>
      </c>
      <c r="P63" s="141">
        <v>0</v>
      </c>
      <c r="Q63" s="141">
        <v>0</v>
      </c>
      <c r="R63" s="142">
        <f t="shared" si="2"/>
        <v>0</v>
      </c>
    </row>
    <row r="64" spans="1:18" x14ac:dyDescent="0.25">
      <c r="A64" s="46" t="s">
        <v>378</v>
      </c>
      <c r="B64" s="45" t="s">
        <v>217</v>
      </c>
      <c r="C64" s="141">
        <v>660000</v>
      </c>
      <c r="D64" s="142"/>
      <c r="E64" s="141">
        <f t="shared" si="1"/>
        <v>660000</v>
      </c>
      <c r="F64" s="141">
        <v>0</v>
      </c>
      <c r="G64" s="141">
        <v>0</v>
      </c>
      <c r="H64" s="141">
        <v>0</v>
      </c>
      <c r="I64" s="141">
        <v>0</v>
      </c>
      <c r="J64" s="141">
        <v>0</v>
      </c>
      <c r="K64" s="141">
        <v>0</v>
      </c>
      <c r="L64" s="141">
        <v>0</v>
      </c>
      <c r="M64" s="141">
        <v>0</v>
      </c>
      <c r="N64" s="141">
        <v>0</v>
      </c>
      <c r="O64" s="141">
        <v>0</v>
      </c>
      <c r="P64" s="141">
        <v>0</v>
      </c>
      <c r="Q64" s="141">
        <v>0</v>
      </c>
      <c r="R64" s="142">
        <f t="shared" si="2"/>
        <v>0</v>
      </c>
    </row>
    <row r="65" spans="1:18" x14ac:dyDescent="0.25">
      <c r="A65" s="46" t="s">
        <v>379</v>
      </c>
      <c r="B65" s="45" t="s">
        <v>223</v>
      </c>
      <c r="C65" s="141">
        <v>110000</v>
      </c>
      <c r="D65" s="142"/>
      <c r="E65" s="141">
        <f t="shared" si="1"/>
        <v>110000</v>
      </c>
      <c r="F65" s="141">
        <v>0</v>
      </c>
      <c r="G65" s="141">
        <v>0</v>
      </c>
      <c r="H65" s="141">
        <v>0</v>
      </c>
      <c r="I65" s="141">
        <v>0</v>
      </c>
      <c r="J65" s="141">
        <v>0</v>
      </c>
      <c r="K65" s="141">
        <v>0</v>
      </c>
      <c r="L65" s="141">
        <v>0</v>
      </c>
      <c r="M65" s="141">
        <v>0</v>
      </c>
      <c r="N65" s="141">
        <v>0</v>
      </c>
      <c r="O65" s="141">
        <v>0</v>
      </c>
      <c r="P65" s="141">
        <v>0</v>
      </c>
      <c r="Q65" s="141">
        <v>0</v>
      </c>
      <c r="R65" s="142">
        <f t="shared" si="2"/>
        <v>0</v>
      </c>
    </row>
    <row r="66" spans="1:18" x14ac:dyDescent="0.25">
      <c r="A66" s="46" t="s">
        <v>380</v>
      </c>
      <c r="B66" s="45" t="s">
        <v>232</v>
      </c>
      <c r="C66" s="141">
        <v>2420000</v>
      </c>
      <c r="D66" s="142"/>
      <c r="E66" s="141">
        <f t="shared" si="1"/>
        <v>2420000</v>
      </c>
      <c r="F66" s="141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v>0</v>
      </c>
      <c r="L66" s="141">
        <v>0</v>
      </c>
      <c r="M66" s="141">
        <v>0</v>
      </c>
      <c r="N66" s="141">
        <v>0</v>
      </c>
      <c r="O66" s="141">
        <v>0</v>
      </c>
      <c r="P66" s="141">
        <v>0</v>
      </c>
      <c r="Q66" s="141">
        <v>0</v>
      </c>
      <c r="R66" s="142">
        <f t="shared" si="2"/>
        <v>0</v>
      </c>
    </row>
    <row r="67" spans="1:18" x14ac:dyDescent="0.25">
      <c r="A67" s="46" t="s">
        <v>381</v>
      </c>
      <c r="B67" s="45" t="s">
        <v>127</v>
      </c>
      <c r="C67" s="141">
        <v>50000000</v>
      </c>
      <c r="D67" s="142"/>
      <c r="E67" s="141">
        <f t="shared" si="1"/>
        <v>50000000</v>
      </c>
      <c r="F67" s="141">
        <v>0</v>
      </c>
      <c r="G67" s="141">
        <v>1572100</v>
      </c>
      <c r="H67" s="141">
        <v>260500</v>
      </c>
      <c r="I67" s="141">
        <v>315680</v>
      </c>
      <c r="J67" s="141">
        <v>271456</v>
      </c>
      <c r="K67" s="141">
        <v>308744</v>
      </c>
      <c r="L67" s="141">
        <v>956844</v>
      </c>
      <c r="M67" s="141">
        <v>2220110</v>
      </c>
      <c r="N67" s="141">
        <v>1456886</v>
      </c>
      <c r="O67" s="141">
        <v>2363798</v>
      </c>
      <c r="P67" s="141">
        <v>3059376</v>
      </c>
      <c r="Q67" s="141">
        <f>610844+1874899</f>
        <v>2485743</v>
      </c>
      <c r="R67" s="142">
        <f t="shared" si="2"/>
        <v>15271237</v>
      </c>
    </row>
    <row r="68" spans="1:18" x14ac:dyDescent="0.25">
      <c r="A68" s="46" t="s">
        <v>382</v>
      </c>
      <c r="B68" s="45" t="s">
        <v>383</v>
      </c>
      <c r="C68" s="141">
        <v>2420000</v>
      </c>
      <c r="D68" s="142"/>
      <c r="E68" s="141">
        <f t="shared" si="1"/>
        <v>2420000</v>
      </c>
      <c r="F68" s="141">
        <v>0</v>
      </c>
      <c r="G68" s="141">
        <v>0</v>
      </c>
      <c r="H68" s="141">
        <v>0</v>
      </c>
      <c r="I68" s="141">
        <v>0</v>
      </c>
      <c r="J68" s="141">
        <v>0</v>
      </c>
      <c r="K68" s="141">
        <v>0</v>
      </c>
      <c r="L68" s="141">
        <v>0</v>
      </c>
      <c r="M68" s="141">
        <v>0</v>
      </c>
      <c r="N68" s="141">
        <v>0</v>
      </c>
      <c r="O68" s="141">
        <v>0</v>
      </c>
      <c r="P68" s="141">
        <v>0</v>
      </c>
      <c r="Q68" s="141">
        <v>0</v>
      </c>
      <c r="R68" s="142">
        <f t="shared" si="2"/>
        <v>0</v>
      </c>
    </row>
    <row r="69" spans="1:18" x14ac:dyDescent="0.25">
      <c r="A69" s="46" t="s">
        <v>384</v>
      </c>
      <c r="B69" s="45" t="s">
        <v>241</v>
      </c>
      <c r="C69" s="141">
        <v>9000000</v>
      </c>
      <c r="D69" s="142"/>
      <c r="E69" s="141">
        <f t="shared" si="1"/>
        <v>9000000</v>
      </c>
      <c r="F69" s="141">
        <v>0</v>
      </c>
      <c r="G69" s="141">
        <v>480000000</v>
      </c>
      <c r="H69" s="141">
        <v>0</v>
      </c>
      <c r="I69" s="141">
        <v>0</v>
      </c>
      <c r="J69" s="141">
        <v>287562</v>
      </c>
      <c r="K69" s="141"/>
      <c r="L69" s="141">
        <v>1684226</v>
      </c>
      <c r="M69" s="141">
        <v>354786</v>
      </c>
      <c r="N69" s="141">
        <v>984228</v>
      </c>
      <c r="O69" s="141">
        <f>2844397+781242</f>
        <v>3625639</v>
      </c>
      <c r="P69" s="141">
        <v>1895467</v>
      </c>
      <c r="Q69" s="141">
        <f>52082+653424+75531+364+480000000</f>
        <v>480781401</v>
      </c>
      <c r="R69" s="142">
        <f t="shared" si="2"/>
        <v>969613309</v>
      </c>
    </row>
    <row r="70" spans="1:18" x14ac:dyDescent="0.25">
      <c r="A70" s="136"/>
      <c r="B70" s="137" t="s">
        <v>242</v>
      </c>
      <c r="C70" s="138">
        <f>C3+C5</f>
        <v>9300000000</v>
      </c>
      <c r="D70" s="139">
        <f t="shared" ref="D70:R70" si="3">D3+D5</f>
        <v>0</v>
      </c>
      <c r="E70" s="138">
        <f t="shared" si="3"/>
        <v>9300000000</v>
      </c>
      <c r="F70" s="140">
        <f t="shared" si="3"/>
        <v>156771750</v>
      </c>
      <c r="G70" s="140">
        <f t="shared" si="3"/>
        <v>770319100</v>
      </c>
      <c r="H70" s="140">
        <f t="shared" si="3"/>
        <v>347927924</v>
      </c>
      <c r="I70" s="140">
        <f t="shared" si="3"/>
        <v>400688653</v>
      </c>
      <c r="J70" s="140">
        <f t="shared" si="3"/>
        <v>584920097.73000002</v>
      </c>
      <c r="K70" s="140">
        <f t="shared" si="3"/>
        <v>378013835</v>
      </c>
      <c r="L70" s="140">
        <f t="shared" si="3"/>
        <v>119857526</v>
      </c>
      <c r="M70" s="140">
        <f t="shared" si="3"/>
        <v>273947443</v>
      </c>
      <c r="N70" s="140">
        <f t="shared" si="3"/>
        <v>256980834</v>
      </c>
      <c r="O70" s="140">
        <f t="shared" si="3"/>
        <v>339823477</v>
      </c>
      <c r="P70" s="140">
        <f t="shared" si="3"/>
        <v>345583304</v>
      </c>
      <c r="Q70" s="140">
        <f t="shared" si="3"/>
        <v>751680070</v>
      </c>
      <c r="R70" s="140">
        <f t="shared" si="3"/>
        <v>4726514013.7299995</v>
      </c>
    </row>
    <row r="71" spans="1:18" x14ac:dyDescent="0.25">
      <c r="A71" s="136">
        <v>2</v>
      </c>
      <c r="B71" s="144" t="s">
        <v>243</v>
      </c>
      <c r="C71" s="142"/>
      <c r="D71" s="142"/>
      <c r="E71" s="142"/>
      <c r="F71" s="141"/>
      <c r="G71" s="142"/>
      <c r="H71" s="142"/>
      <c r="I71" s="145"/>
      <c r="J71" s="145"/>
      <c r="K71" s="145"/>
      <c r="L71" s="145"/>
      <c r="M71" s="145"/>
      <c r="N71" s="145"/>
      <c r="O71" s="145"/>
      <c r="P71" s="145"/>
      <c r="Q71" s="145"/>
      <c r="R71" s="145"/>
    </row>
    <row r="72" spans="1:18" x14ac:dyDescent="0.25">
      <c r="A72" s="136">
        <v>2.1</v>
      </c>
      <c r="B72" s="137" t="s">
        <v>244</v>
      </c>
      <c r="C72" s="138">
        <v>0</v>
      </c>
      <c r="D72" s="140">
        <v>300000000</v>
      </c>
      <c r="E72" s="138">
        <f t="shared" ref="E72:E78" si="4">+C72+D72</f>
        <v>300000000</v>
      </c>
      <c r="F72" s="138">
        <v>0</v>
      </c>
      <c r="G72" s="140">
        <v>300000000</v>
      </c>
      <c r="H72" s="140">
        <v>0</v>
      </c>
      <c r="I72" s="140">
        <v>0</v>
      </c>
      <c r="J72" s="140">
        <v>0</v>
      </c>
      <c r="K72" s="140">
        <v>0</v>
      </c>
      <c r="L72" s="140">
        <v>0</v>
      </c>
      <c r="M72" s="140">
        <v>0</v>
      </c>
      <c r="N72" s="140">
        <v>0</v>
      </c>
      <c r="O72" s="140"/>
      <c r="P72" s="140"/>
      <c r="Q72" s="140"/>
      <c r="R72" s="142">
        <f t="shared" ref="R72" si="5">+F72+G72+H72+I72+J72+K72+L72+M72+N72+O72+P72+Q72</f>
        <v>300000000</v>
      </c>
    </row>
    <row r="73" spans="1:18" x14ac:dyDescent="0.25">
      <c r="A73" s="136">
        <v>2.2000000000000002</v>
      </c>
      <c r="B73" s="137" t="s">
        <v>246</v>
      </c>
      <c r="C73" s="138">
        <v>10000000</v>
      </c>
      <c r="D73" s="138"/>
      <c r="E73" s="138">
        <f t="shared" si="4"/>
        <v>10000000</v>
      </c>
      <c r="F73" s="138">
        <v>0</v>
      </c>
      <c r="G73" s="138">
        <v>0</v>
      </c>
      <c r="H73" s="140">
        <v>0</v>
      </c>
      <c r="I73" s="140">
        <v>0</v>
      </c>
      <c r="J73" s="140">
        <v>0</v>
      </c>
      <c r="K73" s="140">
        <v>0</v>
      </c>
      <c r="L73" s="140">
        <v>0</v>
      </c>
      <c r="M73" s="140">
        <v>0</v>
      </c>
      <c r="N73" s="140">
        <v>0</v>
      </c>
      <c r="O73" s="140"/>
      <c r="P73" s="140"/>
      <c r="Q73" s="140"/>
      <c r="R73" s="141">
        <f>+F73+G73+H73</f>
        <v>0</v>
      </c>
    </row>
    <row r="74" spans="1:18" x14ac:dyDescent="0.25">
      <c r="A74" s="136">
        <v>2.2999999999999998</v>
      </c>
      <c r="B74" s="137" t="s">
        <v>248</v>
      </c>
      <c r="C74" s="138">
        <f>+C75+C76+C77+C78</f>
        <v>3200000000</v>
      </c>
      <c r="D74" s="140"/>
      <c r="E74" s="138">
        <f>+E75+E76+E77+E78</f>
        <v>3200000000</v>
      </c>
      <c r="F74" s="138">
        <f>SUM(F75:F76:F77:F78)</f>
        <v>143267500</v>
      </c>
      <c r="G74" s="138">
        <f>SUM(G75:G76:G77:G78)</f>
        <v>233956250</v>
      </c>
      <c r="H74" s="138">
        <f>SUM(H75:H76:H77:H78)</f>
        <v>275242150</v>
      </c>
      <c r="I74" s="138">
        <f>SUM(I75:I76:I77:I78)</f>
        <v>244551334</v>
      </c>
      <c r="J74" s="138">
        <f>SUM(J75:J76:J77:J78)</f>
        <v>243973298</v>
      </c>
      <c r="K74" s="138">
        <f>SUM(K75:K76:K77:K78)</f>
        <v>294640976</v>
      </c>
      <c r="L74" s="138">
        <f>SUM(L75:L76:L77:L78)</f>
        <v>315691115</v>
      </c>
      <c r="M74" s="138">
        <f>SUM(M75:M76:M77:M78)</f>
        <v>278675338</v>
      </c>
      <c r="N74" s="138">
        <f>SUM(N75:N76:N77:N78)</f>
        <v>286449668</v>
      </c>
      <c r="O74" s="138">
        <f>SUM(O75:O76:O77:O78)</f>
        <v>257518412</v>
      </c>
      <c r="P74" s="138">
        <f>SUM(P75:P76:P77:P78)</f>
        <v>304591301</v>
      </c>
      <c r="Q74" s="138">
        <f>SUM(Q75:Q76:Q77:Q78)</f>
        <v>311274286</v>
      </c>
      <c r="R74" s="138">
        <f>SUM(R75+R76+R77+R78)</f>
        <v>3189831628</v>
      </c>
    </row>
    <row r="75" spans="1:18" x14ac:dyDescent="0.25">
      <c r="A75" s="46" t="s">
        <v>250</v>
      </c>
      <c r="B75" s="45" t="s">
        <v>251</v>
      </c>
      <c r="C75" s="141">
        <v>1400000000</v>
      </c>
      <c r="D75" s="142"/>
      <c r="E75" s="141">
        <f t="shared" si="4"/>
        <v>1400000000</v>
      </c>
      <c r="F75" s="141">
        <v>32845600</v>
      </c>
      <c r="G75" s="141">
        <v>79246776</v>
      </c>
      <c r="H75" s="141">
        <v>90936950</v>
      </c>
      <c r="I75" s="141">
        <v>80015870</v>
      </c>
      <c r="J75" s="141">
        <v>74883302</v>
      </c>
      <c r="K75" s="141">
        <v>77549628</v>
      </c>
      <c r="L75" s="141">
        <v>69523871</v>
      </c>
      <c r="M75" s="141">
        <v>118754622</v>
      </c>
      <c r="N75" s="141">
        <v>134568726</v>
      </c>
      <c r="O75" s="141">
        <v>98875644</v>
      </c>
      <c r="P75" s="141">
        <v>146845637</v>
      </c>
      <c r="Q75" s="141">
        <v>158658862</v>
      </c>
      <c r="R75" s="142">
        <f t="shared" ref="R75:R80" si="6">+F75+G75+H75+I75+J75+K75+L75+M75+N75+O75+P75+Q75</f>
        <v>1162705488</v>
      </c>
    </row>
    <row r="76" spans="1:18" x14ac:dyDescent="0.25">
      <c r="A76" s="46" t="s">
        <v>253</v>
      </c>
      <c r="B76" s="45" t="s">
        <v>254</v>
      </c>
      <c r="C76" s="141">
        <v>520000000</v>
      </c>
      <c r="D76" s="142"/>
      <c r="E76" s="141">
        <f t="shared" si="4"/>
        <v>520000000</v>
      </c>
      <c r="F76" s="141">
        <v>15653400</v>
      </c>
      <c r="G76" s="141">
        <v>33461524</v>
      </c>
      <c r="H76" s="141">
        <v>67913750</v>
      </c>
      <c r="I76" s="141">
        <v>59874514</v>
      </c>
      <c r="J76" s="141">
        <v>61985622</v>
      </c>
      <c r="K76" s="141">
        <v>64892176</v>
      </c>
      <c r="L76" s="141">
        <v>42876384</v>
      </c>
      <c r="M76" s="141">
        <v>54785664</v>
      </c>
      <c r="N76" s="141">
        <v>57369842</v>
      </c>
      <c r="O76" s="141">
        <v>13325628</v>
      </c>
      <c r="P76" s="141">
        <f>15907914+18756489</f>
        <v>34664403</v>
      </c>
      <c r="Q76" s="141">
        <f>32458792</f>
        <v>32458792</v>
      </c>
      <c r="R76" s="142">
        <f t="shared" si="6"/>
        <v>539261699</v>
      </c>
    </row>
    <row r="77" spans="1:18" x14ac:dyDescent="0.25">
      <c r="A77" s="46" t="s">
        <v>256</v>
      </c>
      <c r="B77" s="45" t="s">
        <v>260</v>
      </c>
      <c r="C77" s="141">
        <v>630000000</v>
      </c>
      <c r="D77" s="142"/>
      <c r="E77" s="141">
        <f t="shared" si="4"/>
        <v>630000000</v>
      </c>
      <c r="F77" s="141">
        <v>38260450</v>
      </c>
      <c r="G77" s="141">
        <v>68589600</v>
      </c>
      <c r="H77" s="141">
        <v>50669850</v>
      </c>
      <c r="I77" s="141">
        <v>46875664</v>
      </c>
      <c r="J77" s="141">
        <v>54639552</v>
      </c>
      <c r="K77" s="141">
        <v>79864226</v>
      </c>
      <c r="L77" s="141">
        <v>104863227</v>
      </c>
      <c r="M77" s="141">
        <v>54166768</v>
      </c>
      <c r="N77" s="141">
        <v>49875228</v>
      </c>
      <c r="O77" s="141">
        <f>45050848+1351572</f>
        <v>46402420</v>
      </c>
      <c r="P77" s="141">
        <v>43769822</v>
      </c>
      <c r="Q77" s="141">
        <v>50160697</v>
      </c>
      <c r="R77" s="142">
        <f t="shared" si="6"/>
        <v>688137504</v>
      </c>
    </row>
    <row r="78" spans="1:18" x14ac:dyDescent="0.25">
      <c r="A78" s="46" t="s">
        <v>259</v>
      </c>
      <c r="B78" s="45" t="s">
        <v>263</v>
      </c>
      <c r="C78" s="141">
        <v>650000000</v>
      </c>
      <c r="D78" s="142"/>
      <c r="E78" s="141">
        <f t="shared" si="4"/>
        <v>650000000</v>
      </c>
      <c r="F78" s="141">
        <v>56508050</v>
      </c>
      <c r="G78" s="141">
        <v>52658350</v>
      </c>
      <c r="H78" s="141">
        <v>65721600</v>
      </c>
      <c r="I78" s="141">
        <f>57785286</f>
        <v>57785286</v>
      </c>
      <c r="J78" s="141">
        <v>52464822</v>
      </c>
      <c r="K78" s="141">
        <v>72334946</v>
      </c>
      <c r="L78" s="141">
        <v>98427633</v>
      </c>
      <c r="M78" s="141">
        <f>382809+27853912+11666560+9861889+1203114</f>
        <v>50968284</v>
      </c>
      <c r="N78" s="141">
        <v>44635872</v>
      </c>
      <c r="O78" s="141">
        <f>23588326+49842252+25484142</f>
        <v>98914720</v>
      </c>
      <c r="P78" s="141">
        <f>50236120+29075319</f>
        <v>79311439</v>
      </c>
      <c r="Q78" s="141">
        <f>69995935</f>
        <v>69995935</v>
      </c>
      <c r="R78" s="142">
        <f t="shared" si="6"/>
        <v>799726937</v>
      </c>
    </row>
    <row r="79" spans="1:18" x14ac:dyDescent="0.25">
      <c r="A79" s="46" t="s">
        <v>385</v>
      </c>
      <c r="B79" s="45" t="s">
        <v>265</v>
      </c>
      <c r="C79" s="141">
        <v>12000000</v>
      </c>
      <c r="D79" s="142"/>
      <c r="E79" s="141">
        <v>12000000</v>
      </c>
      <c r="F79" s="141">
        <v>789642</v>
      </c>
      <c r="G79" s="141">
        <v>908426</v>
      </c>
      <c r="H79" s="141">
        <v>852674</v>
      </c>
      <c r="I79" s="141">
        <v>1036541</v>
      </c>
      <c r="J79" s="141">
        <v>863482</v>
      </c>
      <c r="K79" s="141">
        <v>1149855</v>
      </c>
      <c r="L79" s="141">
        <v>384622</v>
      </c>
      <c r="M79" s="141"/>
      <c r="N79" s="141">
        <v>758726</v>
      </c>
      <c r="O79" s="141">
        <v>253687</v>
      </c>
      <c r="P79" s="141">
        <v>197462</v>
      </c>
      <c r="Q79" s="141">
        <v>265879</v>
      </c>
      <c r="R79" s="142">
        <f t="shared" si="6"/>
        <v>7460996</v>
      </c>
    </row>
    <row r="80" spans="1:18" x14ac:dyDescent="0.25">
      <c r="A80" s="46" t="s">
        <v>386</v>
      </c>
      <c r="B80" s="45" t="s">
        <v>387</v>
      </c>
      <c r="C80" s="141">
        <v>1000000</v>
      </c>
      <c r="D80" s="142"/>
      <c r="E80" s="141">
        <v>1000000</v>
      </c>
      <c r="F80" s="141">
        <v>0</v>
      </c>
      <c r="G80" s="141">
        <v>0</v>
      </c>
      <c r="H80" s="141">
        <v>0</v>
      </c>
      <c r="I80" s="141">
        <v>0</v>
      </c>
      <c r="J80" s="141">
        <v>0</v>
      </c>
      <c r="K80" s="141">
        <v>0</v>
      </c>
      <c r="L80" s="141">
        <v>0</v>
      </c>
      <c r="M80" s="141">
        <v>0</v>
      </c>
      <c r="N80" s="141">
        <v>0</v>
      </c>
      <c r="O80" s="141">
        <v>0</v>
      </c>
      <c r="P80" s="141">
        <v>0</v>
      </c>
      <c r="Q80" s="141"/>
      <c r="R80" s="142">
        <f t="shared" si="6"/>
        <v>0</v>
      </c>
    </row>
    <row r="81" spans="1:18" x14ac:dyDescent="0.25">
      <c r="A81" s="136"/>
      <c r="B81" s="144" t="s">
        <v>268</v>
      </c>
      <c r="C81" s="142">
        <f>+C72+C73+C74+C79+C80</f>
        <v>3223000000</v>
      </c>
      <c r="D81" s="142">
        <f>+D72+D73+D74+D79+D80</f>
        <v>300000000</v>
      </c>
      <c r="E81" s="142">
        <f t="shared" ref="E81:R81" si="7">+E72+E73+E74+E79+E80</f>
        <v>3523000000</v>
      </c>
      <c r="F81" s="141">
        <f t="shared" si="7"/>
        <v>144057142</v>
      </c>
      <c r="G81" s="142">
        <f t="shared" si="7"/>
        <v>534864676</v>
      </c>
      <c r="H81" s="142">
        <f t="shared" si="7"/>
        <v>276094824</v>
      </c>
      <c r="I81" s="142">
        <f t="shared" si="7"/>
        <v>245587875</v>
      </c>
      <c r="J81" s="142">
        <f t="shared" si="7"/>
        <v>244836780</v>
      </c>
      <c r="K81" s="142">
        <f t="shared" si="7"/>
        <v>295790831</v>
      </c>
      <c r="L81" s="142">
        <f t="shared" si="7"/>
        <v>316075737</v>
      </c>
      <c r="M81" s="142">
        <f t="shared" si="7"/>
        <v>278675338</v>
      </c>
      <c r="N81" s="142">
        <f t="shared" si="7"/>
        <v>287208394</v>
      </c>
      <c r="O81" s="142">
        <f t="shared" si="7"/>
        <v>257772099</v>
      </c>
      <c r="P81" s="142">
        <f t="shared" si="7"/>
        <v>304788763</v>
      </c>
      <c r="Q81" s="142">
        <f t="shared" si="7"/>
        <v>311540165</v>
      </c>
      <c r="R81" s="142">
        <f t="shared" si="7"/>
        <v>3497292624</v>
      </c>
    </row>
    <row r="82" spans="1:18" ht="15.75" x14ac:dyDescent="0.25">
      <c r="A82" s="146" t="s">
        <v>388</v>
      </c>
      <c r="B82" s="147"/>
      <c r="C82" s="148">
        <f>+C70+C81</f>
        <v>12523000000</v>
      </c>
      <c r="D82" s="148">
        <f>+D70+D81</f>
        <v>300000000</v>
      </c>
      <c r="E82" s="148">
        <f t="shared" ref="E82:R82" si="8">+E70+E81</f>
        <v>12823000000</v>
      </c>
      <c r="F82" s="148">
        <f>+F70+F81</f>
        <v>300828892</v>
      </c>
      <c r="G82" s="148">
        <f t="shared" si="8"/>
        <v>1305183776</v>
      </c>
      <c r="H82" s="148">
        <f t="shared" si="8"/>
        <v>624022748</v>
      </c>
      <c r="I82" s="148">
        <f t="shared" si="8"/>
        <v>646276528</v>
      </c>
      <c r="J82" s="148">
        <f t="shared" si="8"/>
        <v>829756877.73000002</v>
      </c>
      <c r="K82" s="148">
        <f t="shared" si="8"/>
        <v>673804666</v>
      </c>
      <c r="L82" s="148">
        <f t="shared" si="8"/>
        <v>435933263</v>
      </c>
      <c r="M82" s="148">
        <f t="shared" si="8"/>
        <v>552622781</v>
      </c>
      <c r="N82" s="148">
        <f t="shared" si="8"/>
        <v>544189228</v>
      </c>
      <c r="O82" s="148">
        <f t="shared" si="8"/>
        <v>597595576</v>
      </c>
      <c r="P82" s="148">
        <f t="shared" si="8"/>
        <v>650372067</v>
      </c>
      <c r="Q82" s="148">
        <f t="shared" si="8"/>
        <v>1063220235</v>
      </c>
      <c r="R82" s="148">
        <f t="shared" si="8"/>
        <v>8223806637.7299995</v>
      </c>
    </row>
  </sheetData>
  <mergeCells count="19">
    <mergeCell ref="A82:B82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workbookViewId="0">
      <selection sqref="A1:P74"/>
    </sheetView>
  </sheetViews>
  <sheetFormatPr baseColWidth="10" defaultRowHeight="15" x14ac:dyDescent="0.25"/>
  <sheetData>
    <row r="1" spans="1:16" x14ac:dyDescent="0.25">
      <c r="A1" s="72" t="s">
        <v>0</v>
      </c>
      <c r="B1" s="72" t="s">
        <v>1</v>
      </c>
      <c r="C1" s="72" t="s">
        <v>389</v>
      </c>
      <c r="D1" s="95" t="s">
        <v>272</v>
      </c>
      <c r="E1" s="96"/>
      <c r="F1" s="72" t="s">
        <v>4</v>
      </c>
      <c r="G1" s="72" t="s">
        <v>390</v>
      </c>
      <c r="H1" s="72" t="s">
        <v>6</v>
      </c>
      <c r="I1" s="72" t="s">
        <v>7</v>
      </c>
      <c r="J1" s="72" t="s">
        <v>391</v>
      </c>
      <c r="K1" s="72" t="s">
        <v>9</v>
      </c>
      <c r="L1" s="72" t="s">
        <v>10</v>
      </c>
      <c r="M1" s="72" t="s">
        <v>11</v>
      </c>
      <c r="N1" s="72" t="s">
        <v>12</v>
      </c>
      <c r="O1" s="72" t="s">
        <v>13</v>
      </c>
      <c r="P1" s="72" t="s">
        <v>392</v>
      </c>
    </row>
    <row r="2" spans="1:16" ht="25.5" x14ac:dyDescent="0.25">
      <c r="A2" s="75"/>
      <c r="B2" s="75"/>
      <c r="C2" s="75"/>
      <c r="D2" s="97" t="s">
        <v>19</v>
      </c>
      <c r="E2" s="97" t="s">
        <v>275</v>
      </c>
      <c r="F2" s="75"/>
      <c r="G2" s="75"/>
      <c r="H2" s="75"/>
      <c r="I2" s="75"/>
      <c r="J2" s="75"/>
      <c r="K2" s="75"/>
      <c r="L2" s="75"/>
      <c r="M2" s="75"/>
      <c r="N2" s="149"/>
      <c r="O2" s="149"/>
      <c r="P2" s="75"/>
    </row>
    <row r="3" spans="1:16" ht="18.75" x14ac:dyDescent="0.3">
      <c r="A3" s="8">
        <v>3050</v>
      </c>
      <c r="B3" s="9" t="s">
        <v>21</v>
      </c>
      <c r="C3" s="10"/>
      <c r="D3" s="13"/>
      <c r="E3" s="13"/>
      <c r="F3" s="13"/>
      <c r="G3" s="111"/>
      <c r="H3" s="13"/>
      <c r="I3" s="10"/>
      <c r="J3" s="10"/>
      <c r="K3" s="10"/>
      <c r="L3" s="10"/>
      <c r="M3" s="10"/>
      <c r="N3" s="10"/>
      <c r="O3" s="10"/>
      <c r="P3" s="10"/>
    </row>
    <row r="4" spans="1:16" ht="18.75" x14ac:dyDescent="0.4">
      <c r="A4" s="99">
        <v>30501</v>
      </c>
      <c r="B4" s="100" t="s">
        <v>22</v>
      </c>
      <c r="C4" s="10"/>
      <c r="D4" s="13"/>
      <c r="E4" s="13"/>
      <c r="F4" s="13"/>
      <c r="G4" s="111"/>
      <c r="H4" s="13"/>
      <c r="I4" s="10"/>
      <c r="J4" s="10"/>
      <c r="K4" s="10"/>
      <c r="L4" s="10"/>
      <c r="M4" s="10"/>
      <c r="N4" s="10"/>
      <c r="O4" s="10"/>
      <c r="P4" s="10"/>
    </row>
    <row r="5" spans="1:16" ht="16.5" x14ac:dyDescent="0.3">
      <c r="A5" s="101">
        <v>30501180</v>
      </c>
      <c r="B5" s="102" t="s">
        <v>23</v>
      </c>
      <c r="C5" s="103">
        <f>SUM(C6:C16)</f>
        <v>4414000000</v>
      </c>
      <c r="D5" s="103">
        <f t="shared" ref="D5:P5" si="0">SUM(D6:D16)</f>
        <v>0</v>
      </c>
      <c r="E5" s="103">
        <f t="shared" si="0"/>
        <v>0</v>
      </c>
      <c r="F5" s="103">
        <f t="shared" si="0"/>
        <v>0</v>
      </c>
      <c r="G5" s="150">
        <f t="shared" si="0"/>
        <v>4414000000</v>
      </c>
      <c r="H5" s="103">
        <f t="shared" si="0"/>
        <v>312835304</v>
      </c>
      <c r="I5" s="103">
        <f t="shared" si="0"/>
        <v>316817902</v>
      </c>
      <c r="J5" s="103">
        <f t="shared" si="0"/>
        <v>327524833</v>
      </c>
      <c r="K5" s="103">
        <f t="shared" si="0"/>
        <v>323296947</v>
      </c>
      <c r="L5" s="103">
        <f t="shared" si="0"/>
        <v>324851883</v>
      </c>
      <c r="M5" s="103">
        <f t="shared" si="0"/>
        <v>296486436</v>
      </c>
      <c r="N5" s="103">
        <f t="shared" si="0"/>
        <v>452754487</v>
      </c>
      <c r="O5" s="103">
        <f t="shared" si="0"/>
        <v>351219490</v>
      </c>
      <c r="P5" s="103">
        <f t="shared" si="0"/>
        <v>2705787282</v>
      </c>
    </row>
    <row r="6" spans="1:16" x14ac:dyDescent="0.25">
      <c r="A6" s="105">
        <v>30501180401</v>
      </c>
      <c r="B6" s="12" t="s">
        <v>24</v>
      </c>
      <c r="C6" s="13">
        <v>3258000000</v>
      </c>
      <c r="D6" s="13"/>
      <c r="E6" s="13"/>
      <c r="F6" s="13"/>
      <c r="G6" s="111">
        <f>C6+D6-E6+F6</f>
        <v>3258000000</v>
      </c>
      <c r="H6" s="13">
        <v>273348353</v>
      </c>
      <c r="I6" s="13">
        <v>275276309</v>
      </c>
      <c r="J6" s="13">
        <v>275918917</v>
      </c>
      <c r="K6" s="13">
        <v>265876942</v>
      </c>
      <c r="L6" s="13">
        <v>274205121</v>
      </c>
      <c r="M6" s="13">
        <v>252668395</v>
      </c>
      <c r="N6" s="13">
        <v>276726774</v>
      </c>
      <c r="O6" s="13">
        <v>285907052</v>
      </c>
      <c r="P6" s="16">
        <f>H6+I6+J6+K6+L6+M6+N6+O6</f>
        <v>2179927863</v>
      </c>
    </row>
    <row r="7" spans="1:16" x14ac:dyDescent="0.25">
      <c r="A7" s="105">
        <v>30501180402</v>
      </c>
      <c r="B7" s="8" t="s">
        <v>25</v>
      </c>
      <c r="C7" s="16">
        <v>320000000</v>
      </c>
      <c r="D7" s="13"/>
      <c r="E7" s="13"/>
      <c r="F7" s="13"/>
      <c r="G7" s="111">
        <f t="shared" ref="G7:G28" si="1">C7+D7-E7+F7</f>
        <v>320000000</v>
      </c>
      <c r="H7" s="13"/>
      <c r="I7" s="13"/>
      <c r="J7" s="13"/>
      <c r="K7" s="13"/>
      <c r="L7" s="13"/>
      <c r="M7" s="13"/>
      <c r="N7" s="13">
        <v>1270814</v>
      </c>
      <c r="O7" s="13">
        <v>2564590</v>
      </c>
      <c r="P7" s="16">
        <f t="shared" ref="P7:P28" si="2">H7+I7+J7+K7+L7+M7+N7+O7</f>
        <v>3835404</v>
      </c>
    </row>
    <row r="8" spans="1:16" x14ac:dyDescent="0.25">
      <c r="A8" s="105">
        <v>30501180403</v>
      </c>
      <c r="B8" s="8" t="s">
        <v>26</v>
      </c>
      <c r="C8" s="16">
        <v>143000000</v>
      </c>
      <c r="D8" s="13"/>
      <c r="E8" s="13"/>
      <c r="F8" s="13"/>
      <c r="G8" s="111">
        <f t="shared" si="1"/>
        <v>143000000</v>
      </c>
      <c r="H8" s="13"/>
      <c r="I8" s="13">
        <v>11838327</v>
      </c>
      <c r="J8" s="13">
        <v>7950275</v>
      </c>
      <c r="K8" s="13">
        <v>12718517</v>
      </c>
      <c r="L8" s="13">
        <v>13805457</v>
      </c>
      <c r="M8" s="13"/>
      <c r="N8" s="13">
        <v>1025888</v>
      </c>
      <c r="O8" s="13">
        <v>13405157</v>
      </c>
      <c r="P8" s="16">
        <f t="shared" si="2"/>
        <v>60743621</v>
      </c>
    </row>
    <row r="9" spans="1:16" x14ac:dyDescent="0.25">
      <c r="A9" s="105">
        <v>30501180404</v>
      </c>
      <c r="B9" s="8" t="s">
        <v>27</v>
      </c>
      <c r="C9" s="16">
        <v>10000000</v>
      </c>
      <c r="D9" s="13"/>
      <c r="E9" s="13"/>
      <c r="F9" s="13"/>
      <c r="G9" s="111">
        <f t="shared" si="1"/>
        <v>10000000</v>
      </c>
      <c r="H9" s="13"/>
      <c r="I9" s="13"/>
      <c r="J9" s="13"/>
      <c r="K9" s="13"/>
      <c r="L9" s="13">
        <v>1166400</v>
      </c>
      <c r="M9" s="13"/>
      <c r="N9" s="13">
        <v>2283729</v>
      </c>
      <c r="O9" s="13">
        <v>3438910</v>
      </c>
      <c r="P9" s="16">
        <f t="shared" si="2"/>
        <v>6889039</v>
      </c>
    </row>
    <row r="10" spans="1:16" x14ac:dyDescent="0.25">
      <c r="A10" s="105">
        <v>30501180405</v>
      </c>
      <c r="B10" s="8" t="s">
        <v>28</v>
      </c>
      <c r="C10" s="16">
        <v>3000000</v>
      </c>
      <c r="D10" s="13"/>
      <c r="E10" s="13"/>
      <c r="F10" s="13"/>
      <c r="G10" s="111">
        <f t="shared" si="1"/>
        <v>3000000</v>
      </c>
      <c r="H10" s="13">
        <v>97032</v>
      </c>
      <c r="I10" s="13">
        <v>97032</v>
      </c>
      <c r="J10" s="13">
        <v>97032</v>
      </c>
      <c r="K10" s="13">
        <v>77626</v>
      </c>
      <c r="L10" s="13">
        <v>19406</v>
      </c>
      <c r="M10" s="13">
        <v>97032</v>
      </c>
      <c r="N10" s="13">
        <v>97032</v>
      </c>
      <c r="O10" s="13">
        <v>67922</v>
      </c>
      <c r="P10" s="16">
        <f t="shared" si="2"/>
        <v>650114</v>
      </c>
    </row>
    <row r="11" spans="1:16" x14ac:dyDescent="0.25">
      <c r="A11" s="105">
        <v>30501180406</v>
      </c>
      <c r="B11" s="8" t="s">
        <v>29</v>
      </c>
      <c r="C11" s="16">
        <v>27000000</v>
      </c>
      <c r="D11" s="13"/>
      <c r="E11" s="13"/>
      <c r="F11" s="13"/>
      <c r="G11" s="111">
        <f t="shared" si="1"/>
        <v>27000000</v>
      </c>
      <c r="H11" s="13"/>
      <c r="I11" s="13"/>
      <c r="J11" s="13"/>
      <c r="K11" s="13"/>
      <c r="L11" s="13"/>
      <c r="M11" s="13"/>
      <c r="N11" s="13"/>
      <c r="O11" s="13"/>
      <c r="P11" s="16">
        <f t="shared" si="2"/>
        <v>0</v>
      </c>
    </row>
    <row r="12" spans="1:16" x14ac:dyDescent="0.25">
      <c r="A12" s="105">
        <v>30501180407</v>
      </c>
      <c r="B12" s="8" t="s">
        <v>30</v>
      </c>
      <c r="C12" s="16">
        <v>1000000</v>
      </c>
      <c r="D12" s="13"/>
      <c r="E12" s="13"/>
      <c r="F12" s="13"/>
      <c r="G12" s="111">
        <f t="shared" si="1"/>
        <v>1000000</v>
      </c>
      <c r="H12" s="13"/>
      <c r="I12" s="13"/>
      <c r="J12" s="13"/>
      <c r="K12" s="13"/>
      <c r="L12" s="13"/>
      <c r="M12" s="13"/>
      <c r="N12" s="13"/>
      <c r="O12" s="13"/>
      <c r="P12" s="16">
        <f t="shared" si="2"/>
        <v>0</v>
      </c>
    </row>
    <row r="13" spans="1:16" x14ac:dyDescent="0.25">
      <c r="A13" s="105">
        <v>30501180408</v>
      </c>
      <c r="B13" s="8" t="s">
        <v>31</v>
      </c>
      <c r="C13" s="16">
        <v>400000000</v>
      </c>
      <c r="D13" s="13"/>
      <c r="E13" s="13"/>
      <c r="F13" s="13"/>
      <c r="G13" s="111">
        <f t="shared" si="1"/>
        <v>400000000</v>
      </c>
      <c r="H13" s="13">
        <v>31658463</v>
      </c>
      <c r="I13" s="13">
        <v>25454957</v>
      </c>
      <c r="J13" s="13">
        <v>32255974</v>
      </c>
      <c r="K13" s="13">
        <v>36602576</v>
      </c>
      <c r="L13" s="13">
        <v>29993481</v>
      </c>
      <c r="M13" s="13">
        <v>36555999</v>
      </c>
      <c r="N13" s="13">
        <v>32873043</v>
      </c>
      <c r="O13" s="13">
        <v>31415642</v>
      </c>
      <c r="P13" s="16">
        <f t="shared" si="2"/>
        <v>256810135</v>
      </c>
    </row>
    <row r="14" spans="1:16" x14ac:dyDescent="0.25">
      <c r="A14" s="105">
        <v>30501180409</v>
      </c>
      <c r="B14" s="8" t="s">
        <v>32</v>
      </c>
      <c r="C14" s="16">
        <v>140000000</v>
      </c>
      <c r="D14" s="13"/>
      <c r="E14" s="13"/>
      <c r="F14" s="13"/>
      <c r="G14" s="111">
        <f t="shared" si="1"/>
        <v>140000000</v>
      </c>
      <c r="H14" s="13"/>
      <c r="I14" s="13"/>
      <c r="J14" s="13"/>
      <c r="K14" s="13"/>
      <c r="L14" s="13"/>
      <c r="M14" s="13"/>
      <c r="N14" s="13">
        <v>134411670</v>
      </c>
      <c r="O14" s="13"/>
      <c r="P14" s="16">
        <f t="shared" si="2"/>
        <v>134411670</v>
      </c>
    </row>
    <row r="15" spans="1:16" x14ac:dyDescent="0.25">
      <c r="A15" s="105">
        <v>30501180410</v>
      </c>
      <c r="B15" s="8" t="s">
        <v>33</v>
      </c>
      <c r="C15" s="16">
        <v>90000000</v>
      </c>
      <c r="D15" s="13"/>
      <c r="E15" s="13"/>
      <c r="F15" s="13"/>
      <c r="G15" s="111">
        <f t="shared" si="1"/>
        <v>90000000</v>
      </c>
      <c r="H15" s="13">
        <v>7731456</v>
      </c>
      <c r="I15" s="13">
        <v>3691260</v>
      </c>
      <c r="J15" s="13">
        <v>10324630</v>
      </c>
      <c r="K15" s="13">
        <v>6439453</v>
      </c>
      <c r="L15" s="13">
        <v>3945000</v>
      </c>
      <c r="M15" s="13">
        <v>7165010</v>
      </c>
      <c r="N15" s="13">
        <v>2860364</v>
      </c>
      <c r="O15" s="13">
        <v>13032242</v>
      </c>
      <c r="P15" s="16">
        <f t="shared" si="2"/>
        <v>55189415</v>
      </c>
    </row>
    <row r="16" spans="1:16" x14ac:dyDescent="0.25">
      <c r="A16" s="105">
        <v>30501180411</v>
      </c>
      <c r="B16" s="8" t="s">
        <v>34</v>
      </c>
      <c r="C16" s="16">
        <v>22000000</v>
      </c>
      <c r="D16" s="13"/>
      <c r="E16" s="13"/>
      <c r="F16" s="13"/>
      <c r="G16" s="111">
        <f t="shared" si="1"/>
        <v>22000000</v>
      </c>
      <c r="H16" s="13"/>
      <c r="I16" s="13">
        <v>460017</v>
      </c>
      <c r="J16" s="13">
        <v>978005</v>
      </c>
      <c r="K16" s="13">
        <v>1581833</v>
      </c>
      <c r="L16" s="13">
        <v>1717018</v>
      </c>
      <c r="M16" s="13"/>
      <c r="N16" s="13">
        <v>1205173</v>
      </c>
      <c r="O16" s="13">
        <v>1387975</v>
      </c>
      <c r="P16" s="16">
        <f t="shared" si="2"/>
        <v>7330021</v>
      </c>
    </row>
    <row r="17" spans="1:16" ht="16.5" x14ac:dyDescent="0.3">
      <c r="A17" s="101">
        <v>30501181</v>
      </c>
      <c r="B17" s="102" t="s">
        <v>35</v>
      </c>
      <c r="C17" s="103">
        <f>SUM(C18:C21)</f>
        <v>334000000</v>
      </c>
      <c r="D17" s="103">
        <f t="shared" ref="D17:P17" si="3">SUM(D18:D21)</f>
        <v>0</v>
      </c>
      <c r="E17" s="103">
        <f t="shared" si="3"/>
        <v>0</v>
      </c>
      <c r="F17" s="103">
        <f t="shared" si="3"/>
        <v>0</v>
      </c>
      <c r="G17" s="150">
        <f t="shared" si="3"/>
        <v>334000000</v>
      </c>
      <c r="H17" s="103">
        <f t="shared" si="3"/>
        <v>5227944</v>
      </c>
      <c r="I17" s="103">
        <f t="shared" si="3"/>
        <v>38758955</v>
      </c>
      <c r="J17" s="103">
        <f t="shared" si="3"/>
        <v>6108198</v>
      </c>
      <c r="K17" s="103">
        <f t="shared" si="3"/>
        <v>6485303</v>
      </c>
      <c r="L17" s="103">
        <f t="shared" si="3"/>
        <v>28126073</v>
      </c>
      <c r="M17" s="103">
        <f t="shared" si="3"/>
        <v>14872368</v>
      </c>
      <c r="N17" s="103">
        <f t="shared" si="3"/>
        <v>79995269</v>
      </c>
      <c r="O17" s="103">
        <f t="shared" si="3"/>
        <v>9044462</v>
      </c>
      <c r="P17" s="103">
        <f t="shared" si="3"/>
        <v>188618572</v>
      </c>
    </row>
    <row r="18" spans="1:16" x14ac:dyDescent="0.25">
      <c r="A18" s="105">
        <v>30501181412</v>
      </c>
      <c r="B18" s="8" t="s">
        <v>36</v>
      </c>
      <c r="C18" s="16">
        <v>223000000</v>
      </c>
      <c r="D18" s="13"/>
      <c r="E18" s="13"/>
      <c r="F18" s="13"/>
      <c r="G18" s="111">
        <f t="shared" si="1"/>
        <v>223000000</v>
      </c>
      <c r="H18" s="13"/>
      <c r="I18" s="13">
        <v>33333333</v>
      </c>
      <c r="J18" s="13"/>
      <c r="K18" s="13"/>
      <c r="L18" s="13">
        <v>22050279</v>
      </c>
      <c r="M18" s="13">
        <v>8000000</v>
      </c>
      <c r="N18" s="13">
        <v>71049000</v>
      </c>
      <c r="O18" s="13"/>
      <c r="P18" s="16">
        <f t="shared" si="2"/>
        <v>134432612</v>
      </c>
    </row>
    <row r="19" spans="1:16" x14ac:dyDescent="0.25">
      <c r="A19" s="105">
        <v>30501181413</v>
      </c>
      <c r="B19" s="10" t="s">
        <v>37</v>
      </c>
      <c r="C19" s="16">
        <v>100000000</v>
      </c>
      <c r="D19" s="13"/>
      <c r="E19" s="13"/>
      <c r="F19" s="13"/>
      <c r="G19" s="111">
        <f t="shared" si="1"/>
        <v>100000000</v>
      </c>
      <c r="H19" s="13">
        <v>5227944</v>
      </c>
      <c r="I19" s="13">
        <v>5425622</v>
      </c>
      <c r="J19" s="13">
        <v>6108198</v>
      </c>
      <c r="K19" s="13">
        <v>6485303</v>
      </c>
      <c r="L19" s="13">
        <v>6075794</v>
      </c>
      <c r="M19" s="13">
        <v>6872368</v>
      </c>
      <c r="N19" s="13">
        <v>8946269</v>
      </c>
      <c r="O19" s="13">
        <v>9044462</v>
      </c>
      <c r="P19" s="16">
        <f t="shared" si="2"/>
        <v>54185960</v>
      </c>
    </row>
    <row r="20" spans="1:16" x14ac:dyDescent="0.25">
      <c r="A20" s="105">
        <v>30501181414</v>
      </c>
      <c r="B20" s="8" t="s">
        <v>38</v>
      </c>
      <c r="C20" s="16">
        <v>10000000</v>
      </c>
      <c r="D20" s="13"/>
      <c r="E20" s="13"/>
      <c r="F20" s="13"/>
      <c r="G20" s="111">
        <f t="shared" si="1"/>
        <v>10000000</v>
      </c>
      <c r="H20" s="13"/>
      <c r="I20" s="13"/>
      <c r="J20" s="13"/>
      <c r="K20" s="13"/>
      <c r="L20" s="13"/>
      <c r="M20" s="13"/>
      <c r="N20" s="13"/>
      <c r="O20" s="13"/>
      <c r="P20" s="16">
        <f t="shared" si="2"/>
        <v>0</v>
      </c>
    </row>
    <row r="21" spans="1:16" x14ac:dyDescent="0.25">
      <c r="A21" s="105">
        <v>30501181415</v>
      </c>
      <c r="B21" s="8" t="s">
        <v>39</v>
      </c>
      <c r="C21" s="16">
        <v>1000000</v>
      </c>
      <c r="D21" s="13"/>
      <c r="E21" s="13"/>
      <c r="F21" s="13"/>
      <c r="G21" s="111">
        <f t="shared" si="1"/>
        <v>1000000</v>
      </c>
      <c r="H21" s="13"/>
      <c r="I21" s="13"/>
      <c r="J21" s="13"/>
      <c r="K21" s="13"/>
      <c r="L21" s="13"/>
      <c r="M21" s="13"/>
      <c r="N21" s="13"/>
      <c r="O21" s="13"/>
      <c r="P21" s="16">
        <f t="shared" si="2"/>
        <v>0</v>
      </c>
    </row>
    <row r="22" spans="1:16" ht="16.5" x14ac:dyDescent="0.3">
      <c r="A22" s="101">
        <v>30501182</v>
      </c>
      <c r="B22" s="102" t="s">
        <v>40</v>
      </c>
      <c r="C22" s="112">
        <f>SUM(C23:C28)</f>
        <v>1200000000</v>
      </c>
      <c r="D22" s="112">
        <f t="shared" ref="D22:P22" si="4">SUM(D23:D28)</f>
        <v>0</v>
      </c>
      <c r="E22" s="112">
        <f t="shared" si="4"/>
        <v>0</v>
      </c>
      <c r="F22" s="112">
        <f t="shared" si="4"/>
        <v>0</v>
      </c>
      <c r="G22" s="112">
        <f t="shared" si="4"/>
        <v>1200000000</v>
      </c>
      <c r="H22" s="103">
        <f t="shared" si="4"/>
        <v>115253461</v>
      </c>
      <c r="I22" s="103">
        <f t="shared" si="4"/>
        <v>117263151</v>
      </c>
      <c r="J22" s="103">
        <f t="shared" si="4"/>
        <v>94750000</v>
      </c>
      <c r="K22" s="103">
        <f t="shared" si="4"/>
        <v>84638293</v>
      </c>
      <c r="L22" s="103">
        <f t="shared" si="4"/>
        <v>103863100</v>
      </c>
      <c r="M22" s="103">
        <f t="shared" si="4"/>
        <v>95959641</v>
      </c>
      <c r="N22" s="103">
        <f t="shared" si="4"/>
        <v>100243256</v>
      </c>
      <c r="O22" s="103">
        <f t="shared" si="4"/>
        <v>93561727</v>
      </c>
      <c r="P22" s="103">
        <f t="shared" si="4"/>
        <v>805532629</v>
      </c>
    </row>
    <row r="23" spans="1:16" x14ac:dyDescent="0.25">
      <c r="A23" s="105">
        <v>30501182417</v>
      </c>
      <c r="B23" s="8" t="s">
        <v>41</v>
      </c>
      <c r="C23" s="16">
        <v>140000000</v>
      </c>
      <c r="D23" s="13"/>
      <c r="E23" s="13"/>
      <c r="F23" s="13"/>
      <c r="G23" s="111">
        <f t="shared" si="1"/>
        <v>140000000</v>
      </c>
      <c r="H23" s="13">
        <v>13466200</v>
      </c>
      <c r="I23" s="13">
        <v>13789654</v>
      </c>
      <c r="J23" s="13">
        <v>11947300</v>
      </c>
      <c r="K23" s="13">
        <v>10564789</v>
      </c>
      <c r="L23" s="13">
        <v>12565200</v>
      </c>
      <c r="M23" s="13">
        <v>12050900</v>
      </c>
      <c r="N23" s="13">
        <v>12465000</v>
      </c>
      <c r="O23" s="13">
        <v>12036548</v>
      </c>
      <c r="P23" s="16">
        <f t="shared" si="2"/>
        <v>98885591</v>
      </c>
    </row>
    <row r="24" spans="1:16" x14ac:dyDescent="0.25">
      <c r="A24" s="105">
        <v>30501182418</v>
      </c>
      <c r="B24" s="8" t="s">
        <v>42</v>
      </c>
      <c r="C24" s="16">
        <v>120000000</v>
      </c>
      <c r="D24" s="13"/>
      <c r="E24" s="13"/>
      <c r="F24" s="13"/>
      <c r="G24" s="111">
        <f t="shared" si="1"/>
        <v>120000000</v>
      </c>
      <c r="H24" s="13">
        <v>10099300</v>
      </c>
      <c r="I24" s="13">
        <v>10289564</v>
      </c>
      <c r="J24" s="13">
        <v>8959600</v>
      </c>
      <c r="K24" s="13">
        <v>7456258</v>
      </c>
      <c r="L24" s="13">
        <v>9423600</v>
      </c>
      <c r="M24" s="13">
        <v>9038300</v>
      </c>
      <c r="N24" s="13">
        <v>9348200</v>
      </c>
      <c r="O24" s="13">
        <v>8956412</v>
      </c>
      <c r="P24" s="16">
        <f t="shared" si="2"/>
        <v>73571234</v>
      </c>
    </row>
    <row r="25" spans="1:16" x14ac:dyDescent="0.25">
      <c r="A25" s="105">
        <v>30501182419</v>
      </c>
      <c r="B25" s="8" t="s">
        <v>43</v>
      </c>
      <c r="C25" s="16">
        <v>50000000</v>
      </c>
      <c r="D25" s="13"/>
      <c r="E25" s="13"/>
      <c r="F25" s="13"/>
      <c r="G25" s="111">
        <f t="shared" si="1"/>
        <v>50000000</v>
      </c>
      <c r="H25" s="13">
        <v>1683650</v>
      </c>
      <c r="I25" s="13">
        <v>1789546</v>
      </c>
      <c r="J25" s="13">
        <v>4479800</v>
      </c>
      <c r="K25" s="13">
        <v>3370892</v>
      </c>
      <c r="L25" s="13">
        <v>3142300</v>
      </c>
      <c r="M25" s="13">
        <v>3013750</v>
      </c>
      <c r="N25" s="13">
        <v>3117400</v>
      </c>
      <c r="O25" s="13">
        <v>3054987</v>
      </c>
      <c r="P25" s="16">
        <f t="shared" si="2"/>
        <v>23652325</v>
      </c>
    </row>
    <row r="26" spans="1:16" x14ac:dyDescent="0.25">
      <c r="A26" s="105">
        <v>30501182420</v>
      </c>
      <c r="B26" s="8" t="s">
        <v>44</v>
      </c>
      <c r="C26" s="16">
        <v>50000000</v>
      </c>
      <c r="D26" s="13"/>
      <c r="E26" s="13"/>
      <c r="F26" s="13"/>
      <c r="G26" s="111">
        <f t="shared" si="1"/>
        <v>50000000</v>
      </c>
      <c r="H26" s="13">
        <v>1683650</v>
      </c>
      <c r="I26" s="13">
        <v>1789546</v>
      </c>
      <c r="J26" s="13">
        <v>2239900</v>
      </c>
      <c r="K26" s="13">
        <v>1685446</v>
      </c>
      <c r="L26" s="13">
        <v>1571150</v>
      </c>
      <c r="M26" s="13">
        <v>1506875</v>
      </c>
      <c r="N26" s="13">
        <v>1558700</v>
      </c>
      <c r="O26" s="13">
        <v>1527494</v>
      </c>
      <c r="P26" s="16">
        <f t="shared" si="2"/>
        <v>13562761</v>
      </c>
    </row>
    <row r="27" spans="1:16" x14ac:dyDescent="0.25">
      <c r="A27" s="105">
        <v>30501182421</v>
      </c>
      <c r="B27" s="8" t="s">
        <v>45</v>
      </c>
      <c r="C27" s="16">
        <v>40000000</v>
      </c>
      <c r="D27" s="13"/>
      <c r="E27" s="13"/>
      <c r="F27" s="13"/>
      <c r="G27" s="111">
        <f t="shared" si="1"/>
        <v>40000000</v>
      </c>
      <c r="H27" s="13">
        <v>3367300</v>
      </c>
      <c r="I27" s="13">
        <f>I26*2</f>
        <v>3579092</v>
      </c>
      <c r="J27" s="13">
        <v>2239900</v>
      </c>
      <c r="K27" s="13">
        <v>1685446</v>
      </c>
      <c r="L27" s="13">
        <v>1571150</v>
      </c>
      <c r="M27" s="13">
        <v>1506875</v>
      </c>
      <c r="N27" s="13">
        <v>1558700</v>
      </c>
      <c r="O27" s="13">
        <v>1527494</v>
      </c>
      <c r="P27" s="16">
        <f t="shared" si="2"/>
        <v>17035957</v>
      </c>
    </row>
    <row r="28" spans="1:16" x14ac:dyDescent="0.25">
      <c r="A28" s="105">
        <v>30501182422</v>
      </c>
      <c r="B28" s="8" t="s">
        <v>46</v>
      </c>
      <c r="C28" s="16">
        <v>800000000</v>
      </c>
      <c r="D28" s="13"/>
      <c r="E28" s="13"/>
      <c r="F28" s="13"/>
      <c r="G28" s="111">
        <f t="shared" si="1"/>
        <v>800000000</v>
      </c>
      <c r="H28" s="13">
        <v>84953361</v>
      </c>
      <c r="I28" s="13">
        <v>86025749</v>
      </c>
      <c r="J28" s="13">
        <v>64883500</v>
      </c>
      <c r="K28" s="13">
        <v>59875462</v>
      </c>
      <c r="L28" s="13">
        <v>75589700</v>
      </c>
      <c r="M28" s="13">
        <v>68842941</v>
      </c>
      <c r="N28" s="13">
        <v>72195256</v>
      </c>
      <c r="O28" s="13">
        <v>66458792</v>
      </c>
      <c r="P28" s="16">
        <f t="shared" si="2"/>
        <v>578824761</v>
      </c>
    </row>
    <row r="29" spans="1:16" ht="18.75" x14ac:dyDescent="0.4">
      <c r="A29" s="99">
        <v>30502</v>
      </c>
      <c r="B29" s="100" t="s">
        <v>47</v>
      </c>
      <c r="C29" s="10"/>
      <c r="D29" s="13"/>
      <c r="E29" s="13"/>
      <c r="F29" s="13"/>
      <c r="G29" s="111"/>
      <c r="H29" s="13"/>
      <c r="I29" s="10"/>
      <c r="J29" s="10"/>
      <c r="K29" s="10"/>
      <c r="L29" s="10"/>
      <c r="M29" s="10"/>
      <c r="N29" s="10"/>
      <c r="O29" s="10"/>
      <c r="P29" s="10"/>
    </row>
    <row r="30" spans="1:16" ht="16.5" x14ac:dyDescent="0.3">
      <c r="A30" s="102">
        <v>30502180</v>
      </c>
      <c r="B30" s="102" t="s">
        <v>48</v>
      </c>
      <c r="C30" s="103">
        <f>SUM(C31:C36)</f>
        <v>422500000</v>
      </c>
      <c r="D30" s="103">
        <f t="shared" ref="D30:P30" si="5">SUM(D31:D36)</f>
        <v>0</v>
      </c>
      <c r="E30" s="103">
        <f t="shared" si="5"/>
        <v>0</v>
      </c>
      <c r="F30" s="103">
        <f t="shared" si="5"/>
        <v>0</v>
      </c>
      <c r="G30" s="150">
        <f t="shared" si="5"/>
        <v>422500000</v>
      </c>
      <c r="H30" s="103">
        <f t="shared" si="5"/>
        <v>0</v>
      </c>
      <c r="I30" s="103">
        <f t="shared" si="5"/>
        <v>0</v>
      </c>
      <c r="J30" s="103">
        <f t="shared" si="5"/>
        <v>16396695</v>
      </c>
      <c r="K30" s="103">
        <f t="shared" si="5"/>
        <v>0</v>
      </c>
      <c r="L30" s="103">
        <f t="shared" si="5"/>
        <v>20000000</v>
      </c>
      <c r="M30" s="103">
        <f t="shared" si="5"/>
        <v>0</v>
      </c>
      <c r="N30" s="103">
        <f t="shared" si="5"/>
        <v>109030958</v>
      </c>
      <c r="O30" s="103">
        <f t="shared" si="5"/>
        <v>19833941</v>
      </c>
      <c r="P30" s="103">
        <f t="shared" si="5"/>
        <v>165261594</v>
      </c>
    </row>
    <row r="31" spans="1:16" x14ac:dyDescent="0.25">
      <c r="A31" s="105">
        <v>30502180401</v>
      </c>
      <c r="B31" s="8" t="s">
        <v>49</v>
      </c>
      <c r="C31" s="16">
        <v>19500000</v>
      </c>
      <c r="D31" s="13"/>
      <c r="E31" s="13"/>
      <c r="F31" s="13"/>
      <c r="G31" s="111">
        <f t="shared" ref="G31:G47" si="6">C31+D31-E31+F31</f>
        <v>19500000</v>
      </c>
      <c r="H31" s="13"/>
      <c r="I31" s="10"/>
      <c r="J31" s="10"/>
      <c r="K31" s="10"/>
      <c r="L31" s="10"/>
      <c r="M31" s="10"/>
      <c r="N31" s="10"/>
      <c r="O31" s="10"/>
      <c r="P31" s="16">
        <f t="shared" ref="P31:P47" si="7">H31+I31+J31+K31+L31+M31+N31+O31</f>
        <v>0</v>
      </c>
    </row>
    <row r="32" spans="1:16" x14ac:dyDescent="0.25">
      <c r="A32" s="105">
        <v>30502180402</v>
      </c>
      <c r="B32" s="8" t="s">
        <v>393</v>
      </c>
      <c r="C32" s="16">
        <v>237000000</v>
      </c>
      <c r="D32" s="13"/>
      <c r="E32" s="13"/>
      <c r="F32" s="13"/>
      <c r="G32" s="111">
        <f t="shared" si="6"/>
        <v>237000000</v>
      </c>
      <c r="H32" s="13"/>
      <c r="I32" s="10"/>
      <c r="J32" s="13">
        <v>16396695</v>
      </c>
      <c r="K32" s="13"/>
      <c r="L32" s="13"/>
      <c r="M32" s="13"/>
      <c r="N32" s="13">
        <v>9030958</v>
      </c>
      <c r="O32" s="13">
        <v>15764141</v>
      </c>
      <c r="P32" s="16">
        <f t="shared" si="7"/>
        <v>41191794</v>
      </c>
    </row>
    <row r="33" spans="1:16" x14ac:dyDescent="0.25">
      <c r="A33" s="105">
        <v>30502180403</v>
      </c>
      <c r="B33" s="8" t="s">
        <v>51</v>
      </c>
      <c r="C33" s="16">
        <v>150000000</v>
      </c>
      <c r="D33" s="13"/>
      <c r="E33" s="13"/>
      <c r="F33" s="13"/>
      <c r="G33" s="111">
        <f t="shared" si="6"/>
        <v>150000000</v>
      </c>
      <c r="H33" s="13"/>
      <c r="I33" s="10"/>
      <c r="J33" s="13"/>
      <c r="K33" s="13"/>
      <c r="L33" s="13">
        <v>20000000</v>
      </c>
      <c r="M33" s="13"/>
      <c r="N33" s="13">
        <v>100000000</v>
      </c>
      <c r="O33" s="13"/>
      <c r="P33" s="16">
        <f t="shared" si="7"/>
        <v>120000000</v>
      </c>
    </row>
    <row r="34" spans="1:16" x14ac:dyDescent="0.25">
      <c r="A34" s="105">
        <v>30502180404</v>
      </c>
      <c r="B34" s="8" t="s">
        <v>52</v>
      </c>
      <c r="C34" s="16">
        <v>10000000</v>
      </c>
      <c r="D34" s="13"/>
      <c r="E34" s="13"/>
      <c r="F34" s="13"/>
      <c r="G34" s="111">
        <f t="shared" si="6"/>
        <v>10000000</v>
      </c>
      <c r="H34" s="13"/>
      <c r="I34" s="10"/>
      <c r="J34" s="13"/>
      <c r="K34" s="13"/>
      <c r="L34" s="13"/>
      <c r="M34" s="13"/>
      <c r="N34" s="13"/>
      <c r="O34" s="13"/>
      <c r="P34" s="16">
        <f t="shared" si="7"/>
        <v>0</v>
      </c>
    </row>
    <row r="35" spans="1:16" x14ac:dyDescent="0.25">
      <c r="A35" s="105">
        <v>30502180405</v>
      </c>
      <c r="B35" s="8" t="s">
        <v>54</v>
      </c>
      <c r="C35" s="16">
        <v>1000000</v>
      </c>
      <c r="D35" s="13"/>
      <c r="E35" s="13"/>
      <c r="F35" s="13"/>
      <c r="G35" s="111">
        <f t="shared" si="6"/>
        <v>1000000</v>
      </c>
      <c r="H35" s="13"/>
      <c r="I35" s="10"/>
      <c r="J35" s="13"/>
      <c r="K35" s="13"/>
      <c r="L35" s="13"/>
      <c r="M35" s="13"/>
      <c r="N35" s="13"/>
      <c r="O35" s="13"/>
      <c r="P35" s="16">
        <f t="shared" si="7"/>
        <v>0</v>
      </c>
    </row>
    <row r="36" spans="1:16" x14ac:dyDescent="0.25">
      <c r="A36" s="105">
        <v>30502180406</v>
      </c>
      <c r="B36" s="8" t="s">
        <v>55</v>
      </c>
      <c r="C36" s="16">
        <v>5000000</v>
      </c>
      <c r="D36" s="13"/>
      <c r="E36" s="13"/>
      <c r="F36" s="13"/>
      <c r="G36" s="111">
        <f t="shared" si="6"/>
        <v>5000000</v>
      </c>
      <c r="H36" s="13"/>
      <c r="I36" s="10"/>
      <c r="J36" s="13"/>
      <c r="K36" s="13"/>
      <c r="L36" s="13"/>
      <c r="M36" s="13"/>
      <c r="N36" s="13"/>
      <c r="O36" s="13">
        <v>4069800</v>
      </c>
      <c r="P36" s="16">
        <f t="shared" si="7"/>
        <v>4069800</v>
      </c>
    </row>
    <row r="37" spans="1:16" ht="16.5" x14ac:dyDescent="0.3">
      <c r="A37" s="102">
        <v>30502181</v>
      </c>
      <c r="B37" s="102" t="s">
        <v>56</v>
      </c>
      <c r="C37" s="103">
        <f>SUM(C38:C47)</f>
        <v>696000000</v>
      </c>
      <c r="D37" s="103">
        <f t="shared" ref="D37:G37" si="8">SUM(D38:D47)</f>
        <v>0</v>
      </c>
      <c r="E37" s="103">
        <f t="shared" si="8"/>
        <v>0</v>
      </c>
      <c r="F37" s="103">
        <f t="shared" si="8"/>
        <v>0</v>
      </c>
      <c r="G37" s="150">
        <f t="shared" si="8"/>
        <v>696000000</v>
      </c>
      <c r="H37" s="103">
        <f>SUM(H38:H47)</f>
        <v>8512237</v>
      </c>
      <c r="I37" s="103">
        <f>SUM(I38:I47)</f>
        <v>14141991</v>
      </c>
      <c r="J37" s="103">
        <f>SUM(J38:J47)</f>
        <v>95457921</v>
      </c>
      <c r="K37" s="103">
        <f t="shared" ref="K37:O37" si="9">SUM(K38:K47)</f>
        <v>16333641</v>
      </c>
      <c r="L37" s="103">
        <f t="shared" si="9"/>
        <v>19066777</v>
      </c>
      <c r="M37" s="103">
        <f t="shared" si="9"/>
        <v>20366980</v>
      </c>
      <c r="N37" s="103">
        <f t="shared" si="9"/>
        <v>38150317</v>
      </c>
      <c r="O37" s="103">
        <f t="shared" si="9"/>
        <v>44366580</v>
      </c>
      <c r="P37" s="103">
        <f>SUM(P38:P47)</f>
        <v>256396444</v>
      </c>
    </row>
    <row r="38" spans="1:16" x14ac:dyDescent="0.25">
      <c r="A38" s="105">
        <v>30502181407</v>
      </c>
      <c r="B38" s="8" t="s">
        <v>57</v>
      </c>
      <c r="C38" s="16">
        <v>40000000</v>
      </c>
      <c r="D38" s="13"/>
      <c r="E38" s="13"/>
      <c r="F38" s="13"/>
      <c r="G38" s="111">
        <f t="shared" si="6"/>
        <v>40000000</v>
      </c>
      <c r="H38" s="13">
        <v>228298</v>
      </c>
      <c r="I38" s="13">
        <v>228369</v>
      </c>
      <c r="J38" s="13">
        <v>20228405</v>
      </c>
      <c r="K38" s="13">
        <v>228441</v>
      </c>
      <c r="L38" s="13">
        <v>228298</v>
      </c>
      <c r="M38" s="13">
        <v>228334</v>
      </c>
      <c r="N38" s="13">
        <v>228298</v>
      </c>
      <c r="O38" s="13">
        <v>228298</v>
      </c>
      <c r="P38" s="16">
        <f t="shared" si="7"/>
        <v>21826741</v>
      </c>
    </row>
    <row r="39" spans="1:16" x14ac:dyDescent="0.25">
      <c r="A39" s="105">
        <v>30502181408</v>
      </c>
      <c r="B39" s="8" t="s">
        <v>277</v>
      </c>
      <c r="C39" s="16">
        <v>200000000</v>
      </c>
      <c r="D39" s="13"/>
      <c r="E39" s="13"/>
      <c r="F39" s="13"/>
      <c r="G39" s="111">
        <f t="shared" si="6"/>
        <v>200000000</v>
      </c>
      <c r="H39" s="13"/>
      <c r="I39" s="13"/>
      <c r="N39" s="13">
        <v>14980970</v>
      </c>
      <c r="O39" s="13">
        <v>20039600</v>
      </c>
      <c r="P39" s="16">
        <f t="shared" si="7"/>
        <v>35020570</v>
      </c>
    </row>
    <row r="40" spans="1:16" x14ac:dyDescent="0.25">
      <c r="A40" s="105">
        <v>30502181409</v>
      </c>
      <c r="B40" s="8" t="s">
        <v>59</v>
      </c>
      <c r="C40" s="16">
        <v>50000000</v>
      </c>
      <c r="D40" s="13"/>
      <c r="E40" s="13"/>
      <c r="F40" s="13"/>
      <c r="G40" s="111">
        <f t="shared" si="6"/>
        <v>50000000</v>
      </c>
      <c r="H40" s="13"/>
      <c r="I40" s="13"/>
      <c r="J40" s="13">
        <v>21965260</v>
      </c>
      <c r="K40" s="13"/>
      <c r="L40" s="13"/>
      <c r="M40" s="13"/>
      <c r="N40" s="13"/>
      <c r="O40" s="13"/>
      <c r="P40" s="16">
        <f t="shared" si="7"/>
        <v>21965260</v>
      </c>
    </row>
    <row r="41" spans="1:16" x14ac:dyDescent="0.25">
      <c r="A41" s="105">
        <v>30502181410</v>
      </c>
      <c r="B41" s="8" t="s">
        <v>60</v>
      </c>
      <c r="C41" s="16">
        <v>130000000</v>
      </c>
      <c r="D41" s="13"/>
      <c r="E41" s="13"/>
      <c r="F41" s="13"/>
      <c r="G41" s="111">
        <f t="shared" si="6"/>
        <v>130000000</v>
      </c>
      <c r="H41" s="13">
        <v>7414635</v>
      </c>
      <c r="I41" s="13">
        <v>13337226</v>
      </c>
      <c r="J41" s="13">
        <v>20807351</v>
      </c>
      <c r="K41" s="13">
        <v>16105200</v>
      </c>
      <c r="L41" s="13">
        <v>18093175</v>
      </c>
      <c r="M41" s="13">
        <v>6033609</v>
      </c>
      <c r="N41" s="13">
        <v>22754723</v>
      </c>
      <c r="O41" s="13">
        <v>23512868</v>
      </c>
      <c r="P41" s="16">
        <f t="shared" si="7"/>
        <v>128058787</v>
      </c>
    </row>
    <row r="42" spans="1:16" x14ac:dyDescent="0.25">
      <c r="A42" s="105">
        <v>30502181411</v>
      </c>
      <c r="B42" s="8" t="s">
        <v>61</v>
      </c>
      <c r="C42" s="16">
        <v>30000000</v>
      </c>
      <c r="D42" s="13"/>
      <c r="E42" s="13"/>
      <c r="F42" s="13"/>
      <c r="G42" s="111">
        <f t="shared" si="6"/>
        <v>30000000</v>
      </c>
      <c r="H42" s="13">
        <v>869304</v>
      </c>
      <c r="I42" s="13">
        <v>576396</v>
      </c>
      <c r="J42" s="13">
        <v>769304</v>
      </c>
      <c r="K42" s="13"/>
      <c r="L42" s="13">
        <v>745304</v>
      </c>
      <c r="M42" s="13">
        <v>210326</v>
      </c>
      <c r="N42" s="13">
        <v>186326</v>
      </c>
      <c r="O42" s="13">
        <v>585814</v>
      </c>
      <c r="P42" s="16">
        <f t="shared" si="7"/>
        <v>3942774</v>
      </c>
    </row>
    <row r="43" spans="1:16" x14ac:dyDescent="0.25">
      <c r="A43" s="105">
        <v>30502181412</v>
      </c>
      <c r="B43" s="8" t="s">
        <v>62</v>
      </c>
      <c r="C43" s="16">
        <v>130000000</v>
      </c>
      <c r="D43" s="13"/>
      <c r="E43" s="13"/>
      <c r="F43" s="13"/>
      <c r="G43" s="111">
        <f t="shared" si="6"/>
        <v>130000000</v>
      </c>
      <c r="H43" s="13"/>
      <c r="I43" s="13"/>
      <c r="J43" s="13">
        <v>31687601</v>
      </c>
      <c r="K43" s="13"/>
      <c r="L43" s="13"/>
      <c r="M43" s="13"/>
      <c r="N43" s="13"/>
      <c r="O43" s="13"/>
      <c r="P43" s="16">
        <f t="shared" si="7"/>
        <v>31687601</v>
      </c>
    </row>
    <row r="44" spans="1:16" x14ac:dyDescent="0.25">
      <c r="A44" s="105">
        <v>30502181413</v>
      </c>
      <c r="B44" s="8" t="s">
        <v>63</v>
      </c>
      <c r="C44" s="16">
        <v>15000000</v>
      </c>
      <c r="D44" s="13"/>
      <c r="E44" s="13"/>
      <c r="F44" s="13"/>
      <c r="G44" s="111">
        <f t="shared" si="6"/>
        <v>15000000</v>
      </c>
      <c r="H44" s="13"/>
      <c r="I44" s="13"/>
      <c r="J44" s="13"/>
      <c r="K44" s="13"/>
      <c r="L44" s="13"/>
      <c r="M44" s="13">
        <v>5894711</v>
      </c>
      <c r="N44" s="13"/>
      <c r="O44" s="13"/>
      <c r="P44" s="16">
        <f t="shared" si="7"/>
        <v>5894711</v>
      </c>
    </row>
    <row r="45" spans="1:16" x14ac:dyDescent="0.25">
      <c r="A45" s="105">
        <v>30502181414</v>
      </c>
      <c r="B45" s="8" t="s">
        <v>64</v>
      </c>
      <c r="C45" s="16">
        <v>30000000</v>
      </c>
      <c r="D45" s="13"/>
      <c r="E45" s="13"/>
      <c r="F45" s="13"/>
      <c r="G45" s="111">
        <f t="shared" si="6"/>
        <v>30000000</v>
      </c>
      <c r="H45" s="13"/>
      <c r="I45" s="13"/>
      <c r="J45" s="13"/>
      <c r="K45" s="13"/>
      <c r="L45" s="13"/>
      <c r="M45" s="13"/>
      <c r="N45" s="13"/>
      <c r="O45" s="13"/>
      <c r="P45" s="16">
        <f t="shared" si="7"/>
        <v>0</v>
      </c>
    </row>
    <row r="46" spans="1:16" x14ac:dyDescent="0.25">
      <c r="A46" s="105">
        <v>30502181415</v>
      </c>
      <c r="B46" s="10" t="s">
        <v>278</v>
      </c>
      <c r="C46" s="16">
        <v>70000000</v>
      </c>
      <c r="D46" s="13"/>
      <c r="E46" s="13"/>
      <c r="F46" s="13"/>
      <c r="G46" s="111">
        <f t="shared" si="6"/>
        <v>70000000</v>
      </c>
      <c r="H46" s="13"/>
      <c r="I46" s="13"/>
      <c r="J46" s="13"/>
      <c r="K46" s="13"/>
      <c r="L46" s="13"/>
      <c r="M46" s="13">
        <v>8000000</v>
      </c>
      <c r="N46" s="13"/>
      <c r="O46" s="13"/>
      <c r="P46" s="16">
        <f t="shared" si="7"/>
        <v>8000000</v>
      </c>
    </row>
    <row r="47" spans="1:16" x14ac:dyDescent="0.25">
      <c r="A47" s="105">
        <v>30502181416</v>
      </c>
      <c r="B47" s="8" t="s">
        <v>65</v>
      </c>
      <c r="C47" s="16">
        <v>1000000</v>
      </c>
      <c r="D47" s="13"/>
      <c r="E47" s="13"/>
      <c r="F47" s="13"/>
      <c r="G47" s="111">
        <f t="shared" si="6"/>
        <v>1000000</v>
      </c>
      <c r="H47" s="13"/>
      <c r="I47" s="13"/>
      <c r="J47" s="13"/>
      <c r="K47" s="13"/>
      <c r="L47" s="13"/>
      <c r="M47" s="13"/>
      <c r="N47" s="13"/>
      <c r="O47" s="13"/>
      <c r="P47" s="16">
        <f t="shared" si="7"/>
        <v>0</v>
      </c>
    </row>
    <row r="48" spans="1:16" ht="18.75" x14ac:dyDescent="0.4">
      <c r="A48" s="99">
        <v>30503</v>
      </c>
      <c r="B48" s="100" t="s">
        <v>66</v>
      </c>
      <c r="C48" s="20"/>
      <c r="D48" s="13"/>
      <c r="E48" s="13"/>
      <c r="F48" s="13"/>
      <c r="G48" s="111"/>
      <c r="H48" s="13"/>
      <c r="I48" s="10"/>
      <c r="J48" s="10"/>
      <c r="K48" s="10"/>
      <c r="L48" s="10"/>
      <c r="M48" s="10"/>
      <c r="N48" s="10"/>
      <c r="O48" s="10"/>
      <c r="P48" s="10"/>
    </row>
    <row r="49" spans="1:16" x14ac:dyDescent="0.25">
      <c r="A49" s="116">
        <v>30503180</v>
      </c>
      <c r="B49" s="116" t="s">
        <v>67</v>
      </c>
      <c r="C49" s="11">
        <f>SUM(C50:C53)</f>
        <v>625500000</v>
      </c>
      <c r="D49" s="11">
        <f t="shared" ref="D49:G49" si="10">SUM(D50:D53)</f>
        <v>0</v>
      </c>
      <c r="E49" s="11">
        <f t="shared" si="10"/>
        <v>0</v>
      </c>
      <c r="F49" s="11">
        <f t="shared" si="10"/>
        <v>0</v>
      </c>
      <c r="G49" s="104">
        <f t="shared" si="10"/>
        <v>625500000</v>
      </c>
      <c r="H49" s="11">
        <f>SUM(H50:H53)</f>
        <v>28943479</v>
      </c>
      <c r="I49" s="11">
        <f>SUM(I50:I53)</f>
        <v>86253286</v>
      </c>
      <c r="J49" s="11">
        <f>SUM(J50:J53)</f>
        <v>73107663</v>
      </c>
      <c r="K49" s="11">
        <f t="shared" ref="K49:O49" si="11">SUM(K50:K53)</f>
        <v>43520489</v>
      </c>
      <c r="L49" s="11">
        <f t="shared" si="11"/>
        <v>32372780</v>
      </c>
      <c r="M49" s="11">
        <f t="shared" si="11"/>
        <v>72543251</v>
      </c>
      <c r="N49" s="11">
        <f t="shared" si="11"/>
        <v>81250927</v>
      </c>
      <c r="O49" s="11">
        <f t="shared" si="11"/>
        <v>9168203</v>
      </c>
      <c r="P49" s="11">
        <f>SUM(P50:P53)</f>
        <v>427160078</v>
      </c>
    </row>
    <row r="50" spans="1:16" x14ac:dyDescent="0.25">
      <c r="A50" s="105">
        <v>30503180401</v>
      </c>
      <c r="B50" s="8" t="s">
        <v>68</v>
      </c>
      <c r="C50" s="16">
        <v>100000000</v>
      </c>
      <c r="D50" s="13"/>
      <c r="E50" s="13"/>
      <c r="F50" s="13"/>
      <c r="G50" s="111">
        <f t="shared" ref="G50:G59" si="12">C50+D50-E50+F50</f>
        <v>100000000</v>
      </c>
      <c r="H50" s="13">
        <v>5646909</v>
      </c>
      <c r="I50" s="13">
        <v>5912371</v>
      </c>
      <c r="J50" s="13">
        <v>5912371</v>
      </c>
      <c r="K50" s="13">
        <v>5912371</v>
      </c>
      <c r="L50" s="13">
        <v>5912371</v>
      </c>
      <c r="M50" s="13">
        <v>11824742</v>
      </c>
      <c r="N50" s="13">
        <v>5912371</v>
      </c>
      <c r="O50" s="13">
        <v>5912371</v>
      </c>
      <c r="P50" s="16">
        <f t="shared" ref="P50:P59" si="13">H50+I50+J50+K50+L50+M50+N50+O50</f>
        <v>52945877</v>
      </c>
    </row>
    <row r="51" spans="1:16" x14ac:dyDescent="0.25">
      <c r="A51" s="105">
        <v>30503180402</v>
      </c>
      <c r="B51" s="8" t="s">
        <v>69</v>
      </c>
      <c r="C51" s="16">
        <v>1000000</v>
      </c>
      <c r="D51" s="13"/>
      <c r="E51" s="13"/>
      <c r="F51" s="13"/>
      <c r="G51" s="111">
        <f t="shared" si="12"/>
        <v>1000000</v>
      </c>
      <c r="H51" s="13"/>
      <c r="I51" s="13"/>
      <c r="J51" s="13"/>
      <c r="K51" s="13"/>
      <c r="L51" s="13"/>
      <c r="M51" s="13"/>
      <c r="N51" s="13"/>
      <c r="O51" s="13"/>
      <c r="P51" s="16">
        <f t="shared" si="13"/>
        <v>0</v>
      </c>
    </row>
    <row r="52" spans="1:16" x14ac:dyDescent="0.25">
      <c r="A52" s="105">
        <v>30503180403</v>
      </c>
      <c r="B52" s="8" t="s">
        <v>70</v>
      </c>
      <c r="C52" s="16">
        <v>500000000</v>
      </c>
      <c r="D52" s="13"/>
      <c r="E52" s="13"/>
      <c r="F52" s="13"/>
      <c r="G52" s="111">
        <f t="shared" si="12"/>
        <v>500000000</v>
      </c>
      <c r="H52" s="13"/>
      <c r="I52" s="13">
        <v>79490159</v>
      </c>
      <c r="J52" s="13">
        <v>67195292</v>
      </c>
      <c r="K52" s="13">
        <v>37608118</v>
      </c>
      <c r="L52" s="13">
        <v>26460409</v>
      </c>
      <c r="M52" s="13">
        <v>60718509</v>
      </c>
      <c r="N52" s="13">
        <v>75338556</v>
      </c>
      <c r="O52" s="13">
        <v>3115167</v>
      </c>
      <c r="P52" s="16">
        <f t="shared" si="13"/>
        <v>349926210</v>
      </c>
    </row>
    <row r="53" spans="1:16" x14ac:dyDescent="0.25">
      <c r="A53" s="105">
        <v>30503180404</v>
      </c>
      <c r="B53" s="8" t="s">
        <v>71</v>
      </c>
      <c r="C53" s="16">
        <v>24500000</v>
      </c>
      <c r="D53" s="13"/>
      <c r="E53" s="13"/>
      <c r="F53" s="13"/>
      <c r="G53" s="111">
        <f t="shared" si="12"/>
        <v>24500000</v>
      </c>
      <c r="H53" s="13">
        <v>23296570</v>
      </c>
      <c r="I53" s="13">
        <v>850756</v>
      </c>
      <c r="J53" s="13"/>
      <c r="K53" s="13"/>
      <c r="L53" s="13"/>
      <c r="M53" s="13"/>
      <c r="N53" s="13"/>
      <c r="O53" s="13">
        <v>140665</v>
      </c>
      <c r="P53" s="16">
        <f t="shared" si="13"/>
        <v>24287991</v>
      </c>
    </row>
    <row r="54" spans="1:16" x14ac:dyDescent="0.25">
      <c r="A54" s="116">
        <v>30503181</v>
      </c>
      <c r="B54" s="116" t="s">
        <v>72</v>
      </c>
      <c r="C54" s="118">
        <f>SUM(C55:C59)</f>
        <v>1140000000</v>
      </c>
      <c r="D54" s="118">
        <f t="shared" ref="D54:G54" si="14">SUM(D55:D59)</f>
        <v>0</v>
      </c>
      <c r="E54" s="118">
        <f t="shared" si="14"/>
        <v>0</v>
      </c>
      <c r="F54" s="118">
        <f t="shared" si="14"/>
        <v>0</v>
      </c>
      <c r="G54" s="151">
        <f t="shared" si="14"/>
        <v>1140000000</v>
      </c>
      <c r="H54" s="118">
        <f>SUM(H55:H59)</f>
        <v>3395304</v>
      </c>
      <c r="I54" s="118">
        <f>SUM(I55:I59)</f>
        <v>16231759</v>
      </c>
      <c r="J54" s="118">
        <f>SUM(J55:J59)</f>
        <v>1800907</v>
      </c>
      <c r="K54" s="118">
        <f t="shared" ref="K54:O54" si="15">SUM(K55:K59)</f>
        <v>4143675</v>
      </c>
      <c r="L54" s="118">
        <f t="shared" si="15"/>
        <v>386320587</v>
      </c>
      <c r="M54" s="118">
        <f t="shared" si="15"/>
        <v>312480748</v>
      </c>
      <c r="N54" s="118">
        <f t="shared" si="15"/>
        <v>107368381</v>
      </c>
      <c r="O54" s="118">
        <f t="shared" si="15"/>
        <v>32796964</v>
      </c>
      <c r="P54" s="118">
        <f>SUM(P55:P59)</f>
        <v>864538325</v>
      </c>
    </row>
    <row r="55" spans="1:16" x14ac:dyDescent="0.25">
      <c r="A55" s="105">
        <v>30503181405</v>
      </c>
      <c r="B55" s="8" t="s">
        <v>73</v>
      </c>
      <c r="C55" s="16">
        <v>30000000</v>
      </c>
      <c r="D55" s="13"/>
      <c r="E55" s="13"/>
      <c r="F55" s="13"/>
      <c r="G55" s="111">
        <f t="shared" si="12"/>
        <v>30000000</v>
      </c>
      <c r="H55" s="13"/>
      <c r="I55" s="13"/>
      <c r="J55" s="13"/>
      <c r="K55" s="13"/>
      <c r="L55" s="13"/>
      <c r="M55" s="13"/>
      <c r="N55" s="13"/>
      <c r="O55" s="13">
        <v>1453085</v>
      </c>
      <c r="P55" s="16">
        <f t="shared" si="13"/>
        <v>1453085</v>
      </c>
    </row>
    <row r="56" spans="1:16" x14ac:dyDescent="0.25">
      <c r="A56" s="105">
        <v>30503181406</v>
      </c>
      <c r="B56" s="8" t="s">
        <v>74</v>
      </c>
      <c r="C56" s="16">
        <v>100000000</v>
      </c>
      <c r="D56" s="13"/>
      <c r="E56" s="13"/>
      <c r="F56" s="13"/>
      <c r="G56" s="111">
        <f t="shared" si="12"/>
        <v>100000000</v>
      </c>
      <c r="H56" s="13"/>
      <c r="I56" s="13"/>
      <c r="J56" s="13"/>
      <c r="K56" s="13"/>
      <c r="L56" s="13"/>
      <c r="M56" s="13"/>
      <c r="N56" s="13"/>
      <c r="O56" s="13"/>
      <c r="P56" s="16">
        <f t="shared" si="13"/>
        <v>0</v>
      </c>
    </row>
    <row r="57" spans="1:16" x14ac:dyDescent="0.25">
      <c r="A57" s="105">
        <v>30503181407</v>
      </c>
      <c r="B57" s="8" t="s">
        <v>75</v>
      </c>
      <c r="C57" s="16">
        <v>130000000</v>
      </c>
      <c r="D57" s="13"/>
      <c r="E57" s="13"/>
      <c r="F57" s="13"/>
      <c r="G57" s="111">
        <f t="shared" si="12"/>
        <v>130000000</v>
      </c>
      <c r="H57" s="13">
        <v>3395304</v>
      </c>
      <c r="I57" s="13">
        <v>16231759</v>
      </c>
      <c r="J57" s="13">
        <v>1800907</v>
      </c>
      <c r="K57" s="13">
        <v>4143675</v>
      </c>
      <c r="L57" s="13">
        <v>3964266</v>
      </c>
      <c r="M57" s="13">
        <v>6904094</v>
      </c>
      <c r="N57" s="13">
        <v>11488925</v>
      </c>
      <c r="O57" s="13">
        <v>3387467</v>
      </c>
      <c r="P57" s="16">
        <f t="shared" si="13"/>
        <v>51316397</v>
      </c>
    </row>
    <row r="58" spans="1:16" x14ac:dyDescent="0.25">
      <c r="A58" s="105">
        <v>30503181408</v>
      </c>
      <c r="B58" s="8" t="s">
        <v>305</v>
      </c>
      <c r="C58" s="16">
        <v>70000000</v>
      </c>
      <c r="D58" s="13"/>
      <c r="E58" s="13"/>
      <c r="F58" s="13"/>
      <c r="G58" s="111">
        <f t="shared" si="12"/>
        <v>70000000</v>
      </c>
      <c r="H58" s="13"/>
      <c r="I58" s="13"/>
      <c r="J58" s="13"/>
      <c r="K58" s="13"/>
      <c r="L58" s="13"/>
      <c r="M58" s="13">
        <v>7000000</v>
      </c>
      <c r="N58" s="13"/>
      <c r="O58" s="13"/>
      <c r="P58" s="16">
        <f t="shared" si="13"/>
        <v>7000000</v>
      </c>
    </row>
    <row r="59" spans="1:16" x14ac:dyDescent="0.25">
      <c r="A59" s="105">
        <v>30503181409</v>
      </c>
      <c r="B59" s="8" t="s">
        <v>394</v>
      </c>
      <c r="C59" s="16">
        <v>810000000</v>
      </c>
      <c r="D59" s="13"/>
      <c r="E59" s="13"/>
      <c r="F59" s="13"/>
      <c r="G59" s="111">
        <f t="shared" si="12"/>
        <v>810000000</v>
      </c>
      <c r="H59" s="13"/>
      <c r="I59" s="10"/>
      <c r="J59" s="10"/>
      <c r="K59" s="10"/>
      <c r="L59" s="13">
        <f>84659000+199458000+98239321</f>
        <v>382356321</v>
      </c>
      <c r="M59" s="13">
        <v>298576654</v>
      </c>
      <c r="N59" s="13">
        <v>95879456</v>
      </c>
      <c r="O59" s="13">
        <v>27956412</v>
      </c>
      <c r="P59" s="16">
        <f t="shared" si="13"/>
        <v>804768843</v>
      </c>
    </row>
    <row r="60" spans="1:16" ht="15.75" x14ac:dyDescent="0.25">
      <c r="A60" s="56"/>
      <c r="B60" s="120" t="s">
        <v>76</v>
      </c>
      <c r="C60" s="59">
        <f>C5+C17+C22+C30+C37+C49+C54</f>
        <v>8832000000</v>
      </c>
      <c r="D60" s="59">
        <f t="shared" ref="D60:G60" si="16">D5+D17+D22+D30+D37+D49+D54</f>
        <v>0</v>
      </c>
      <c r="E60" s="59">
        <f t="shared" si="16"/>
        <v>0</v>
      </c>
      <c r="F60" s="59">
        <f t="shared" si="16"/>
        <v>0</v>
      </c>
      <c r="G60" s="121">
        <f t="shared" si="16"/>
        <v>8832000000</v>
      </c>
      <c r="H60" s="59">
        <f>H5+H17+H22+H30+H37+H49+H54</f>
        <v>474167729</v>
      </c>
      <c r="I60" s="59">
        <f>I5+I17+I22+I30+I37+I49+I54</f>
        <v>589467044</v>
      </c>
      <c r="J60" s="59">
        <f>J5+J17+J22+J30+J37+J49+J54</f>
        <v>615146217</v>
      </c>
      <c r="K60" s="59">
        <f t="shared" ref="K60:O60" si="17">K5+K17+K22+K30+K37+K49+K54</f>
        <v>478418348</v>
      </c>
      <c r="L60" s="59">
        <f t="shared" si="17"/>
        <v>914601200</v>
      </c>
      <c r="M60" s="59">
        <f t="shared" si="17"/>
        <v>812709424</v>
      </c>
      <c r="N60" s="59">
        <f t="shared" si="17"/>
        <v>968793595</v>
      </c>
      <c r="O60" s="59">
        <f t="shared" si="17"/>
        <v>559991367</v>
      </c>
      <c r="P60" s="59">
        <f>P5+P17+P22+P30+P37+P49+P54</f>
        <v>5413294924</v>
      </c>
    </row>
    <row r="61" spans="1:16" ht="18.75" x14ac:dyDescent="0.4">
      <c r="A61" s="99">
        <v>30506</v>
      </c>
      <c r="B61" s="100" t="s">
        <v>77</v>
      </c>
      <c r="C61" s="16">
        <v>0</v>
      </c>
      <c r="D61" s="13"/>
      <c r="E61" s="13"/>
      <c r="F61" s="13"/>
      <c r="G61" s="111"/>
      <c r="H61" s="13"/>
      <c r="I61" s="10"/>
      <c r="J61" s="10"/>
      <c r="K61" s="10"/>
      <c r="L61" s="10"/>
      <c r="M61" s="10"/>
      <c r="N61" s="10"/>
      <c r="O61" s="10"/>
      <c r="P61" s="10"/>
    </row>
    <row r="62" spans="1:16" x14ac:dyDescent="0.25">
      <c r="A62" s="116">
        <v>30506180</v>
      </c>
      <c r="B62" s="116" t="s">
        <v>78</v>
      </c>
      <c r="C62" s="23">
        <v>0</v>
      </c>
      <c r="D62" s="13"/>
      <c r="E62" s="13"/>
      <c r="F62" s="13"/>
      <c r="G62" s="111"/>
      <c r="H62" s="13"/>
      <c r="I62" s="10"/>
      <c r="J62" s="10"/>
      <c r="K62" s="10"/>
      <c r="L62" s="10"/>
      <c r="M62" s="10"/>
      <c r="N62" s="10"/>
      <c r="O62" s="10"/>
      <c r="P62" s="10"/>
    </row>
    <row r="63" spans="1:16" x14ac:dyDescent="0.25">
      <c r="A63" s="105">
        <v>30506180401</v>
      </c>
      <c r="B63" s="8" t="s">
        <v>79</v>
      </c>
      <c r="C63" s="16">
        <v>0</v>
      </c>
      <c r="D63" s="13"/>
      <c r="E63" s="13"/>
      <c r="F63" s="13"/>
      <c r="G63" s="111">
        <f t="shared" ref="G63:G64" si="18">C63+D63-E63+F63</f>
        <v>0</v>
      </c>
      <c r="H63" s="13"/>
      <c r="I63" s="13"/>
      <c r="J63" s="13"/>
      <c r="K63" s="13"/>
      <c r="L63" s="13"/>
      <c r="M63" s="13"/>
      <c r="N63" s="13"/>
      <c r="O63" s="13"/>
      <c r="P63" s="16">
        <f t="shared" ref="P63" si="19">H63+I63+J63+K63+L63+M63</f>
        <v>0</v>
      </c>
    </row>
    <row r="64" spans="1:16" x14ac:dyDescent="0.25">
      <c r="A64" s="105">
        <v>30506180402</v>
      </c>
      <c r="B64" s="8" t="s">
        <v>80</v>
      </c>
      <c r="C64" s="16">
        <v>0</v>
      </c>
      <c r="D64" s="13"/>
      <c r="E64" s="13"/>
      <c r="F64" s="13"/>
      <c r="G64" s="111">
        <f t="shared" si="18"/>
        <v>0</v>
      </c>
      <c r="H64" s="13"/>
      <c r="I64" s="13"/>
      <c r="J64" s="13"/>
      <c r="K64" s="13"/>
      <c r="L64" s="13"/>
      <c r="M64" s="13"/>
      <c r="N64" s="152"/>
      <c r="O64" s="152"/>
    </row>
    <row r="65" spans="1:16" ht="15.75" x14ac:dyDescent="0.25">
      <c r="A65" s="8"/>
      <c r="B65" s="120" t="s">
        <v>81</v>
      </c>
      <c r="C65" s="59">
        <f>C62+C63+C64</f>
        <v>0</v>
      </c>
      <c r="D65" s="13"/>
      <c r="E65" s="13"/>
      <c r="F65" s="13"/>
      <c r="G65" s="111"/>
      <c r="H65" s="13"/>
      <c r="I65" s="10"/>
      <c r="J65" s="10"/>
      <c r="K65" s="10"/>
      <c r="L65" s="10"/>
      <c r="M65" s="10"/>
      <c r="N65" s="10"/>
      <c r="O65" s="10"/>
      <c r="P65" s="10"/>
    </row>
    <row r="66" spans="1:16" ht="18.75" x14ac:dyDescent="0.4">
      <c r="A66" s="99">
        <v>30507</v>
      </c>
      <c r="B66" s="100" t="s">
        <v>82</v>
      </c>
      <c r="C66" s="10"/>
      <c r="D66" s="13"/>
      <c r="E66" s="13"/>
      <c r="F66" s="13"/>
      <c r="G66" s="111"/>
      <c r="H66" s="13"/>
      <c r="I66" s="10"/>
      <c r="J66" s="10"/>
      <c r="K66" s="10"/>
      <c r="L66" s="10"/>
      <c r="M66" s="10"/>
      <c r="N66" s="10"/>
      <c r="O66" s="10"/>
      <c r="P66" s="10"/>
    </row>
    <row r="67" spans="1:16" ht="15.75" x14ac:dyDescent="0.3">
      <c r="A67" s="125">
        <v>30507180</v>
      </c>
      <c r="B67" s="125" t="s">
        <v>306</v>
      </c>
      <c r="C67" s="10"/>
      <c r="D67" s="13"/>
      <c r="E67" s="13"/>
      <c r="F67" s="13"/>
      <c r="G67" s="111"/>
      <c r="H67" s="13"/>
      <c r="I67" s="10"/>
      <c r="J67" s="10"/>
      <c r="K67" s="10"/>
      <c r="L67" s="10"/>
      <c r="M67" s="10"/>
      <c r="N67" s="10"/>
      <c r="O67" s="10"/>
      <c r="P67" s="16">
        <f t="shared" ref="P67:P72" si="20">H67+I67+J67+K67+L67+M67+N67+O67</f>
        <v>0</v>
      </c>
    </row>
    <row r="68" spans="1:16" x14ac:dyDescent="0.25">
      <c r="A68" s="105">
        <v>30507180401</v>
      </c>
      <c r="B68" s="8" t="s">
        <v>89</v>
      </c>
      <c r="C68" s="16">
        <v>400000000</v>
      </c>
      <c r="D68" s="13"/>
      <c r="E68" s="13"/>
      <c r="F68" s="13"/>
      <c r="G68" s="111">
        <f t="shared" ref="G68:G72" si="21">C68+D68-E68+F68</f>
        <v>400000000</v>
      </c>
      <c r="H68" s="13"/>
      <c r="I68" s="10"/>
      <c r="J68" s="10"/>
      <c r="K68" s="10"/>
      <c r="L68" s="10"/>
      <c r="M68" s="10"/>
      <c r="N68" s="10"/>
      <c r="O68" s="10"/>
      <c r="P68" s="16">
        <f t="shared" si="20"/>
        <v>0</v>
      </c>
    </row>
    <row r="69" spans="1:16" x14ac:dyDescent="0.25">
      <c r="A69" s="105">
        <v>30507180402</v>
      </c>
      <c r="B69" s="8" t="s">
        <v>279</v>
      </c>
      <c r="C69" s="16">
        <v>481700000</v>
      </c>
      <c r="D69" s="13"/>
      <c r="E69" s="13"/>
      <c r="F69" s="13"/>
      <c r="G69" s="111">
        <f t="shared" si="21"/>
        <v>481700000</v>
      </c>
      <c r="H69" s="13"/>
      <c r="I69" s="10"/>
      <c r="J69" s="10"/>
      <c r="K69" s="10"/>
      <c r="L69" s="10"/>
      <c r="M69" s="10"/>
      <c r="N69" s="10"/>
      <c r="O69" s="10"/>
      <c r="P69" s="16">
        <f t="shared" si="20"/>
        <v>0</v>
      </c>
    </row>
    <row r="70" spans="1:16" x14ac:dyDescent="0.25">
      <c r="A70" s="105">
        <v>30507180403</v>
      </c>
      <c r="B70" s="8" t="s">
        <v>91</v>
      </c>
      <c r="C70" s="16">
        <v>370000000</v>
      </c>
      <c r="D70" s="13"/>
      <c r="E70" s="13"/>
      <c r="F70" s="13"/>
      <c r="G70" s="111">
        <f t="shared" si="21"/>
        <v>370000000</v>
      </c>
      <c r="H70" s="13"/>
      <c r="I70" s="10"/>
      <c r="J70" s="10"/>
      <c r="K70" s="10"/>
      <c r="L70" s="10"/>
      <c r="M70" s="10"/>
      <c r="N70" s="10"/>
      <c r="O70" s="10"/>
      <c r="P70" s="16">
        <f t="shared" si="20"/>
        <v>0</v>
      </c>
    </row>
    <row r="71" spans="1:16" x14ac:dyDescent="0.25">
      <c r="A71" s="105">
        <v>30507180404</v>
      </c>
      <c r="B71" s="8" t="s">
        <v>85</v>
      </c>
      <c r="C71" s="16">
        <v>1082500000</v>
      </c>
      <c r="D71" s="13"/>
      <c r="E71" s="13"/>
      <c r="F71" s="13"/>
      <c r="G71" s="111">
        <f t="shared" si="21"/>
        <v>1082500000</v>
      </c>
      <c r="H71" s="13"/>
      <c r="I71" s="10"/>
      <c r="J71" s="10"/>
      <c r="K71" s="10"/>
      <c r="L71" s="10"/>
      <c r="M71" s="10"/>
      <c r="N71" s="10"/>
      <c r="O71" s="10"/>
      <c r="P71" s="16">
        <f t="shared" si="20"/>
        <v>0</v>
      </c>
    </row>
    <row r="72" spans="1:16" x14ac:dyDescent="0.25">
      <c r="A72" s="105">
        <v>30507180405</v>
      </c>
      <c r="B72" s="8" t="s">
        <v>92</v>
      </c>
      <c r="C72" s="16">
        <v>556800000</v>
      </c>
      <c r="D72" s="13"/>
      <c r="E72" s="13"/>
      <c r="F72" s="13"/>
      <c r="G72" s="111">
        <f t="shared" si="21"/>
        <v>556800000</v>
      </c>
      <c r="H72" s="13"/>
      <c r="I72" s="10"/>
      <c r="J72" s="10"/>
      <c r="K72" s="10"/>
      <c r="L72" s="10"/>
      <c r="M72" s="10"/>
      <c r="N72" s="10"/>
      <c r="O72" s="10"/>
      <c r="P72" s="16">
        <f t="shared" si="20"/>
        <v>0</v>
      </c>
    </row>
    <row r="73" spans="1:16" ht="15.75" x14ac:dyDescent="0.25">
      <c r="A73" s="56"/>
      <c r="B73" s="120" t="s">
        <v>93</v>
      </c>
      <c r="C73" s="59">
        <f>SUM(C68:C72)</f>
        <v>2891000000</v>
      </c>
      <c r="D73" s="59">
        <f t="shared" ref="D73:G73" si="22">SUM(D68:D72)</f>
        <v>0</v>
      </c>
      <c r="E73" s="59">
        <f t="shared" si="22"/>
        <v>0</v>
      </c>
      <c r="F73" s="59">
        <f t="shared" si="22"/>
        <v>0</v>
      </c>
      <c r="G73" s="121">
        <f t="shared" si="22"/>
        <v>2891000000</v>
      </c>
      <c r="H73" s="59">
        <f>SUM(H68:H72)</f>
        <v>0</v>
      </c>
      <c r="I73" s="59">
        <f>SUM(I68:I72)</f>
        <v>0</v>
      </c>
      <c r="J73" s="59">
        <f>SUM(J68:J72)</f>
        <v>0</v>
      </c>
      <c r="K73" s="59"/>
      <c r="L73" s="59"/>
      <c r="M73" s="59"/>
      <c r="N73" s="59"/>
      <c r="O73" s="59"/>
      <c r="P73" s="59">
        <f>SUM(P68:P72)</f>
        <v>0</v>
      </c>
    </row>
    <row r="74" spans="1:16" ht="19.5" x14ac:dyDescent="0.4">
      <c r="A74" s="129" t="s">
        <v>395</v>
      </c>
      <c r="B74" s="129"/>
      <c r="C74" s="130">
        <f>C60+C65+C73</f>
        <v>11723000000</v>
      </c>
      <c r="D74" s="130">
        <f t="shared" ref="D74:G74" si="23">D60+D65+D73</f>
        <v>0</v>
      </c>
      <c r="E74" s="130">
        <f t="shared" si="23"/>
        <v>0</v>
      </c>
      <c r="F74" s="130">
        <f t="shared" si="23"/>
        <v>0</v>
      </c>
      <c r="G74" s="153">
        <f t="shared" si="23"/>
        <v>11723000000</v>
      </c>
      <c r="H74" s="130">
        <f>H60+H65+H73</f>
        <v>474167729</v>
      </c>
      <c r="I74" s="130">
        <f>I60+I65+I73</f>
        <v>589467044</v>
      </c>
      <c r="J74" s="130">
        <f>J60+J65+J73</f>
        <v>615146217</v>
      </c>
      <c r="K74" s="130">
        <f t="shared" ref="K74:O74" si="24">K60+K65+K73</f>
        <v>478418348</v>
      </c>
      <c r="L74" s="130">
        <f t="shared" si="24"/>
        <v>914601200</v>
      </c>
      <c r="M74" s="130">
        <f t="shared" si="24"/>
        <v>812709424</v>
      </c>
      <c r="N74" s="130">
        <f t="shared" si="24"/>
        <v>968793595</v>
      </c>
      <c r="O74" s="130">
        <f t="shared" si="24"/>
        <v>559991367</v>
      </c>
      <c r="P74" s="130">
        <f>P60+P65+P73</f>
        <v>5413294924</v>
      </c>
    </row>
  </sheetData>
  <mergeCells count="16">
    <mergeCell ref="N1:N2"/>
    <mergeCell ref="O1:O2"/>
    <mergeCell ref="P1:P2"/>
    <mergeCell ref="A74:B74"/>
    <mergeCell ref="H1:H2"/>
    <mergeCell ref="I1:I2"/>
    <mergeCell ref="J1:J2"/>
    <mergeCell ref="K1:K2"/>
    <mergeCell ref="L1:L2"/>
    <mergeCell ref="M1:M2"/>
    <mergeCell ref="A1:A2"/>
    <mergeCell ref="B1:B2"/>
    <mergeCell ref="C1:C2"/>
    <mergeCell ref="D1:E1"/>
    <mergeCell ref="F1:F2"/>
    <mergeCell ref="G1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2"/>
  <sheetViews>
    <sheetView tabSelected="1" workbookViewId="0">
      <selection activeCell="H11" sqref="H11"/>
    </sheetView>
  </sheetViews>
  <sheetFormatPr baseColWidth="10" defaultRowHeight="15" x14ac:dyDescent="0.25"/>
  <cols>
    <col min="2" max="2" width="58.140625" bestFit="1" customWidth="1"/>
    <col min="3" max="3" width="17.28515625" bestFit="1" customWidth="1"/>
    <col min="5" max="5" width="23" bestFit="1" customWidth="1"/>
    <col min="6" max="6" width="19.5703125" bestFit="1" customWidth="1"/>
    <col min="7" max="7" width="21.7109375" bestFit="1" customWidth="1"/>
    <col min="8" max="8" width="20" bestFit="1" customWidth="1"/>
    <col min="9" max="10" width="18.85546875" bestFit="1" customWidth="1"/>
    <col min="11" max="11" width="19" bestFit="1" customWidth="1"/>
    <col min="12" max="12" width="18.85546875" bestFit="1" customWidth="1"/>
    <col min="13" max="13" width="21" bestFit="1" customWidth="1"/>
    <col min="14" max="14" width="32.140625" bestFit="1" customWidth="1"/>
  </cols>
  <sheetData>
    <row r="1" spans="1:14" x14ac:dyDescent="0.25">
      <c r="A1" s="154" t="s">
        <v>96</v>
      </c>
      <c r="B1" s="154" t="s">
        <v>97</v>
      </c>
      <c r="C1" s="154" t="s">
        <v>396</v>
      </c>
      <c r="D1" s="154" t="s">
        <v>309</v>
      </c>
      <c r="E1" s="154" t="s">
        <v>100</v>
      </c>
      <c r="F1" s="154" t="s">
        <v>397</v>
      </c>
      <c r="G1" s="154" t="s">
        <v>398</v>
      </c>
      <c r="H1" s="154" t="s">
        <v>399</v>
      </c>
      <c r="I1" s="154" t="s">
        <v>400</v>
      </c>
      <c r="J1" s="154" t="s">
        <v>401</v>
      </c>
      <c r="K1" s="154" t="s">
        <v>402</v>
      </c>
      <c r="L1" s="154" t="s">
        <v>403</v>
      </c>
      <c r="M1" s="154" t="s">
        <v>404</v>
      </c>
      <c r="N1" s="154" t="s">
        <v>405</v>
      </c>
    </row>
    <row r="2" spans="1:14" x14ac:dyDescent="0.2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4" x14ac:dyDescent="0.25">
      <c r="A3" s="136">
        <v>1.1000000000000001</v>
      </c>
      <c r="B3" s="137" t="s">
        <v>114</v>
      </c>
      <c r="C3" s="138">
        <f>C4</f>
        <v>1500000000</v>
      </c>
      <c r="D3" s="10"/>
      <c r="E3" s="138">
        <f t="shared" ref="E3:N3" si="0">E4</f>
        <v>1500000000</v>
      </c>
      <c r="F3" s="138">
        <f t="shared" si="0"/>
        <v>60618332</v>
      </c>
      <c r="G3" s="138">
        <f t="shared" si="0"/>
        <v>185917654</v>
      </c>
      <c r="H3" s="138">
        <f t="shared" si="0"/>
        <v>196271148</v>
      </c>
      <c r="I3" s="138">
        <f t="shared" si="0"/>
        <v>265978699</v>
      </c>
      <c r="J3" s="138">
        <f t="shared" si="0"/>
        <v>202442372</v>
      </c>
      <c r="K3" s="138">
        <f t="shared" si="0"/>
        <v>201180718</v>
      </c>
      <c r="L3" s="138">
        <f t="shared" si="0"/>
        <v>261710289</v>
      </c>
      <c r="M3" s="138">
        <f t="shared" si="0"/>
        <v>68277072</v>
      </c>
      <c r="N3" s="138">
        <f t="shared" si="0"/>
        <v>1442396284</v>
      </c>
    </row>
    <row r="4" spans="1:14" x14ac:dyDescent="0.25">
      <c r="A4" s="46" t="s">
        <v>116</v>
      </c>
      <c r="B4" s="45" t="s">
        <v>117</v>
      </c>
      <c r="C4" s="141">
        <v>1500000000</v>
      </c>
      <c r="D4" s="10"/>
      <c r="E4" s="156">
        <f>C4+D4</f>
        <v>1500000000</v>
      </c>
      <c r="F4" s="156">
        <v>60618332</v>
      </c>
      <c r="G4" s="156">
        <v>185917654</v>
      </c>
      <c r="H4" s="156">
        <v>196271148</v>
      </c>
      <c r="I4" s="156">
        <v>265978699</v>
      </c>
      <c r="J4" s="156">
        <v>202442372</v>
      </c>
      <c r="K4" s="156">
        <v>201180718</v>
      </c>
      <c r="L4" s="156">
        <v>261710289</v>
      </c>
      <c r="M4" s="156">
        <v>68277072</v>
      </c>
      <c r="N4" s="156">
        <f>F4+G4+H4+I4+J4+K4+L4+M4</f>
        <v>1442396284</v>
      </c>
    </row>
    <row r="5" spans="1:14" x14ac:dyDescent="0.25">
      <c r="A5" s="136">
        <v>1.2</v>
      </c>
      <c r="B5" s="137" t="s">
        <v>118</v>
      </c>
      <c r="C5" s="138">
        <f>SUM(C6:C69)</f>
        <v>7000000000</v>
      </c>
      <c r="D5" s="10"/>
      <c r="E5" s="138">
        <f t="shared" ref="E5:N5" si="1">SUM(E6:E69)</f>
        <v>7000000000</v>
      </c>
      <c r="F5" s="138">
        <f t="shared" si="1"/>
        <v>241291399</v>
      </c>
      <c r="G5" s="138">
        <f t="shared" si="1"/>
        <v>226439341</v>
      </c>
      <c r="H5" s="138">
        <f t="shared" si="1"/>
        <v>235821337</v>
      </c>
      <c r="I5" s="157">
        <f t="shared" si="1"/>
        <v>234815085</v>
      </c>
      <c r="J5" s="157">
        <f t="shared" si="1"/>
        <v>286500869</v>
      </c>
      <c r="K5" s="157">
        <f t="shared" si="1"/>
        <v>318332101</v>
      </c>
      <c r="L5" s="157">
        <f t="shared" si="1"/>
        <v>389879591</v>
      </c>
      <c r="M5" s="157">
        <f t="shared" si="1"/>
        <v>219610737</v>
      </c>
      <c r="N5" s="138">
        <f t="shared" si="1"/>
        <v>2152690460</v>
      </c>
    </row>
    <row r="6" spans="1:14" x14ac:dyDescent="0.25">
      <c r="A6" s="46" t="s">
        <v>120</v>
      </c>
      <c r="B6" s="45" t="s">
        <v>121</v>
      </c>
      <c r="C6" s="141">
        <v>2619290000</v>
      </c>
      <c r="D6" s="10"/>
      <c r="E6" s="156">
        <f t="shared" ref="E6:E69" si="2">C6+D6</f>
        <v>2619290000</v>
      </c>
      <c r="F6" s="156">
        <v>33658974</v>
      </c>
      <c r="G6" s="156">
        <v>42562874</v>
      </c>
      <c r="H6" s="156">
        <v>61466877</v>
      </c>
      <c r="I6" s="156">
        <v>55748947</v>
      </c>
      <c r="J6" s="156">
        <v>64155073</v>
      </c>
      <c r="K6" s="156">
        <f>61817128+505210</f>
        <v>62322338</v>
      </c>
      <c r="L6" s="156">
        <v>69419317</v>
      </c>
      <c r="M6" s="156">
        <v>49295760</v>
      </c>
      <c r="N6" s="156">
        <f t="shared" ref="N6:N69" si="3">F6+G6+H6+I6+J6+K6+L6+M6</f>
        <v>438630160</v>
      </c>
    </row>
    <row r="7" spans="1:14" x14ac:dyDescent="0.25">
      <c r="A7" s="46" t="s">
        <v>123</v>
      </c>
      <c r="B7" s="45" t="s">
        <v>151</v>
      </c>
      <c r="C7" s="141">
        <v>500000000</v>
      </c>
      <c r="D7" s="10"/>
      <c r="E7" s="156">
        <f t="shared" si="2"/>
        <v>500000000</v>
      </c>
      <c r="F7" s="156">
        <v>48358434</v>
      </c>
      <c r="G7" s="156">
        <v>34799224</v>
      </c>
      <c r="H7" s="156">
        <v>41284531</v>
      </c>
      <c r="I7" s="156">
        <f>43907705+19977</f>
        <v>43927682</v>
      </c>
      <c r="J7" s="156">
        <v>40888222</v>
      </c>
      <c r="K7" s="156">
        <v>46081809</v>
      </c>
      <c r="L7" s="156">
        <v>96685098</v>
      </c>
      <c r="M7" s="156"/>
      <c r="N7" s="156">
        <f t="shared" si="3"/>
        <v>352025000</v>
      </c>
    </row>
    <row r="8" spans="1:14" x14ac:dyDescent="0.25">
      <c r="A8" s="46" t="s">
        <v>126</v>
      </c>
      <c r="B8" s="45" t="s">
        <v>323</v>
      </c>
      <c r="C8" s="141">
        <v>600000000</v>
      </c>
      <c r="D8" s="10"/>
      <c r="E8" s="156">
        <f t="shared" si="2"/>
        <v>600000000</v>
      </c>
      <c r="F8" s="156">
        <f>36275193+1635891</f>
        <v>37911084</v>
      </c>
      <c r="G8" s="156">
        <f>19724872+40406037</f>
        <v>60130909</v>
      </c>
      <c r="H8" s="156">
        <f>20270648+1545840+24018489</f>
        <v>45834977</v>
      </c>
      <c r="I8" s="156">
        <f>20908663+23613800+541044</f>
        <v>45063507</v>
      </c>
      <c r="J8" s="156">
        <f>18411290+28677520+1236672+18636896+30914</f>
        <v>66993292</v>
      </c>
      <c r="K8" s="156">
        <f>20124816+23232810+4173768+1512+61783438</f>
        <v>109316344</v>
      </c>
      <c r="L8" s="156">
        <v>103852048</v>
      </c>
      <c r="M8" s="156">
        <f>29294762+328491+17609214</f>
        <v>47232467</v>
      </c>
      <c r="N8" s="156">
        <f t="shared" si="3"/>
        <v>516334628</v>
      </c>
    </row>
    <row r="9" spans="1:14" x14ac:dyDescent="0.25">
      <c r="A9" s="46" t="s">
        <v>129</v>
      </c>
      <c r="B9" s="45" t="s">
        <v>324</v>
      </c>
      <c r="C9" s="141">
        <v>365000000</v>
      </c>
      <c r="D9" s="10"/>
      <c r="E9" s="156">
        <f t="shared" si="2"/>
        <v>365000000</v>
      </c>
      <c r="F9" s="156">
        <v>7844211</v>
      </c>
      <c r="G9" s="156">
        <v>6030852</v>
      </c>
      <c r="H9" s="156">
        <v>6395196</v>
      </c>
      <c r="I9" s="156">
        <v>6500664</v>
      </c>
      <c r="J9" s="156">
        <v>7211262</v>
      </c>
      <c r="K9" s="156">
        <v>6215739</v>
      </c>
      <c r="L9" s="156">
        <v>7986804</v>
      </c>
      <c r="M9" s="156">
        <v>7248528</v>
      </c>
      <c r="N9" s="156">
        <f t="shared" si="3"/>
        <v>55433256</v>
      </c>
    </row>
    <row r="10" spans="1:14" x14ac:dyDescent="0.25">
      <c r="A10" s="46" t="s">
        <v>132</v>
      </c>
      <c r="B10" s="45" t="s">
        <v>325</v>
      </c>
      <c r="C10" s="141">
        <v>100000</v>
      </c>
      <c r="D10" s="10"/>
      <c r="E10" s="156">
        <f t="shared" si="2"/>
        <v>100000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/>
      <c r="M10" s="156"/>
      <c r="N10" s="156">
        <f t="shared" si="3"/>
        <v>0</v>
      </c>
    </row>
    <row r="11" spans="1:14" x14ac:dyDescent="0.25">
      <c r="A11" s="46" t="s">
        <v>135</v>
      </c>
      <c r="B11" s="45" t="s">
        <v>326</v>
      </c>
      <c r="C11" s="141">
        <v>26000000</v>
      </c>
      <c r="D11" s="10"/>
      <c r="E11" s="156">
        <f t="shared" si="2"/>
        <v>26000000</v>
      </c>
      <c r="F11" s="156">
        <f>42803+679026</f>
        <v>721829</v>
      </c>
      <c r="G11" s="156">
        <v>582114</v>
      </c>
      <c r="H11" s="156">
        <v>804687</v>
      </c>
      <c r="I11" s="156">
        <f>42803+393783</f>
        <v>436586</v>
      </c>
      <c r="J11" s="156">
        <v>907413</v>
      </c>
      <c r="K11" s="156">
        <v>513630</v>
      </c>
      <c r="L11" s="156">
        <v>616356</v>
      </c>
      <c r="M11" s="156">
        <f>42803+616356</f>
        <v>659159</v>
      </c>
      <c r="N11" s="156">
        <f t="shared" si="3"/>
        <v>5241774</v>
      </c>
    </row>
    <row r="12" spans="1:14" x14ac:dyDescent="0.25">
      <c r="A12" s="46" t="s">
        <v>138</v>
      </c>
      <c r="B12" s="45" t="s">
        <v>136</v>
      </c>
      <c r="C12" s="141">
        <v>38000000</v>
      </c>
      <c r="D12" s="10"/>
      <c r="E12" s="156">
        <f t="shared" si="2"/>
        <v>38000000</v>
      </c>
      <c r="F12" s="156">
        <v>900630</v>
      </c>
      <c r="G12" s="156">
        <v>856050</v>
      </c>
      <c r="H12" s="156">
        <v>958776</v>
      </c>
      <c r="I12" s="156">
        <v>684840</v>
      </c>
      <c r="J12" s="156">
        <v>1266954</v>
      </c>
      <c r="K12" s="156">
        <v>1027260</v>
      </c>
      <c r="L12" s="156">
        <v>958776</v>
      </c>
      <c r="M12" s="156">
        <v>975897</v>
      </c>
      <c r="N12" s="156">
        <f t="shared" si="3"/>
        <v>7629183</v>
      </c>
    </row>
    <row r="13" spans="1:14" x14ac:dyDescent="0.25">
      <c r="A13" s="46" t="s">
        <v>141</v>
      </c>
      <c r="B13" s="45" t="s">
        <v>139</v>
      </c>
      <c r="C13" s="141">
        <v>95000000</v>
      </c>
      <c r="D13" s="10"/>
      <c r="E13" s="156">
        <f t="shared" si="2"/>
        <v>95000000</v>
      </c>
      <c r="F13" s="156">
        <v>6756276</v>
      </c>
      <c r="G13" s="156">
        <v>2242948</v>
      </c>
      <c r="H13" s="156">
        <v>5175761</v>
      </c>
      <c r="I13" s="156">
        <v>4913168</v>
      </c>
      <c r="J13" s="156">
        <v>7442363</v>
      </c>
      <c r="K13" s="156">
        <v>6831869</v>
      </c>
      <c r="L13" s="156">
        <v>9413879</v>
      </c>
      <c r="M13" s="156">
        <v>6988491</v>
      </c>
      <c r="N13" s="156">
        <f t="shared" si="3"/>
        <v>49764755</v>
      </c>
    </row>
    <row r="14" spans="1:14" x14ac:dyDescent="0.25">
      <c r="A14" s="46" t="s">
        <v>144</v>
      </c>
      <c r="B14" s="45" t="s">
        <v>163</v>
      </c>
      <c r="C14" s="141">
        <v>82500000</v>
      </c>
      <c r="D14" s="10"/>
      <c r="E14" s="156">
        <f t="shared" si="2"/>
        <v>82500000</v>
      </c>
      <c r="F14" s="156">
        <v>12413289</v>
      </c>
      <c r="G14" s="156">
        <v>8332330</v>
      </c>
      <c r="H14" s="156">
        <v>4991156</v>
      </c>
      <c r="I14" s="156">
        <v>6119143</v>
      </c>
      <c r="J14" s="156">
        <v>7494029</v>
      </c>
      <c r="K14" s="156">
        <v>5190135</v>
      </c>
      <c r="L14" s="156">
        <v>12150441</v>
      </c>
      <c r="M14" s="156">
        <v>21151279</v>
      </c>
      <c r="N14" s="156">
        <f t="shared" si="3"/>
        <v>77841802</v>
      </c>
    </row>
    <row r="15" spans="1:14" x14ac:dyDescent="0.25">
      <c r="A15" s="46" t="s">
        <v>147</v>
      </c>
      <c r="B15" s="45" t="s">
        <v>172</v>
      </c>
      <c r="C15" s="141">
        <v>38000000</v>
      </c>
      <c r="D15" s="10"/>
      <c r="E15" s="156">
        <f t="shared" si="2"/>
        <v>38000000</v>
      </c>
      <c r="F15" s="156">
        <v>8401140</v>
      </c>
      <c r="G15" s="156">
        <v>5278975</v>
      </c>
      <c r="H15" s="156">
        <v>5393115</v>
      </c>
      <c r="I15" s="156">
        <v>12327120</v>
      </c>
      <c r="J15" s="156">
        <v>9388015</v>
      </c>
      <c r="K15" s="156">
        <v>5878210</v>
      </c>
      <c r="L15" s="156">
        <v>5935280</v>
      </c>
      <c r="M15" s="156">
        <v>7162285</v>
      </c>
      <c r="N15" s="156">
        <f t="shared" si="3"/>
        <v>59764140</v>
      </c>
    </row>
    <row r="16" spans="1:14" x14ac:dyDescent="0.25">
      <c r="A16" s="46" t="s">
        <v>150</v>
      </c>
      <c r="B16" s="45" t="s">
        <v>190</v>
      </c>
      <c r="C16" s="141">
        <v>5000000</v>
      </c>
      <c r="D16" s="10"/>
      <c r="E16" s="156">
        <f t="shared" si="2"/>
        <v>5000000</v>
      </c>
      <c r="F16" s="156">
        <v>168728</v>
      </c>
      <c r="G16" s="156">
        <v>421820</v>
      </c>
      <c r="H16" s="156">
        <v>253092</v>
      </c>
      <c r="I16" s="156">
        <v>168728</v>
      </c>
      <c r="J16" s="156">
        <v>253092</v>
      </c>
      <c r="K16" s="156">
        <v>168728</v>
      </c>
      <c r="L16" s="156"/>
      <c r="M16" s="156">
        <v>168728</v>
      </c>
      <c r="N16" s="156">
        <f t="shared" si="3"/>
        <v>1602916</v>
      </c>
    </row>
    <row r="17" spans="1:14" x14ac:dyDescent="0.25">
      <c r="A17" s="46" t="s">
        <v>153</v>
      </c>
      <c r="B17" s="45" t="s">
        <v>327</v>
      </c>
      <c r="C17" s="141">
        <v>1000000</v>
      </c>
      <c r="D17" s="10"/>
      <c r="E17" s="156">
        <f t="shared" si="2"/>
        <v>1000000</v>
      </c>
      <c r="F17" s="156">
        <v>0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/>
      <c r="M17" s="156"/>
      <c r="N17" s="156">
        <f t="shared" si="3"/>
        <v>0</v>
      </c>
    </row>
    <row r="18" spans="1:14" x14ac:dyDescent="0.25">
      <c r="A18" s="46" t="s">
        <v>156</v>
      </c>
      <c r="B18" s="45" t="s">
        <v>328</v>
      </c>
      <c r="C18" s="141">
        <v>1000000</v>
      </c>
      <c r="D18" s="10"/>
      <c r="E18" s="156">
        <f t="shared" si="2"/>
        <v>1000000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  <c r="K18" s="156">
        <v>0</v>
      </c>
      <c r="L18" s="156"/>
      <c r="M18" s="156"/>
      <c r="N18" s="156">
        <f t="shared" si="3"/>
        <v>0</v>
      </c>
    </row>
    <row r="19" spans="1:14" x14ac:dyDescent="0.25">
      <c r="A19" s="46" t="s">
        <v>159</v>
      </c>
      <c r="B19" s="45" t="s">
        <v>145</v>
      </c>
      <c r="C19" s="141">
        <v>100000000</v>
      </c>
      <c r="D19" s="10"/>
      <c r="E19" s="156">
        <f t="shared" si="2"/>
        <v>100000000</v>
      </c>
      <c r="F19" s="156">
        <f>559122+487718+3602330</f>
        <v>4649170</v>
      </c>
      <c r="G19" s="156">
        <f>772668+724962</f>
        <v>1497630</v>
      </c>
      <c r="H19" s="156">
        <f>610630+540765+2940825</f>
        <v>4092220</v>
      </c>
      <c r="I19" s="156">
        <f>635994+830029+43511</f>
        <v>1509534</v>
      </c>
      <c r="J19" s="156">
        <f>754364+869897</f>
        <v>1624261</v>
      </c>
      <c r="K19" s="156">
        <f>1390082+600964+705546</f>
        <v>2696592</v>
      </c>
      <c r="L19" s="156">
        <f>937890+1233395+772668</f>
        <v>2943953</v>
      </c>
      <c r="M19" s="156">
        <f>21326+3422370+611738</f>
        <v>4055434</v>
      </c>
      <c r="N19" s="156">
        <f t="shared" si="3"/>
        <v>23068794</v>
      </c>
    </row>
    <row r="20" spans="1:14" x14ac:dyDescent="0.25">
      <c r="A20" s="46" t="s">
        <v>162</v>
      </c>
      <c r="B20" s="45" t="s">
        <v>148</v>
      </c>
      <c r="C20" s="141">
        <v>4000000</v>
      </c>
      <c r="D20" s="10"/>
      <c r="E20" s="156">
        <f t="shared" si="2"/>
        <v>4000000</v>
      </c>
      <c r="F20" s="156">
        <v>0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/>
      <c r="M20" s="156"/>
      <c r="N20" s="156">
        <f t="shared" si="3"/>
        <v>0</v>
      </c>
    </row>
    <row r="21" spans="1:14" x14ac:dyDescent="0.25">
      <c r="A21" s="46" t="s">
        <v>165</v>
      </c>
      <c r="B21" s="45" t="s">
        <v>154</v>
      </c>
      <c r="C21" s="141">
        <v>200000000</v>
      </c>
      <c r="D21" s="10"/>
      <c r="E21" s="156">
        <f t="shared" si="2"/>
        <v>200000000</v>
      </c>
      <c r="F21" s="156">
        <v>54021481</v>
      </c>
      <c r="G21" s="156">
        <v>31210029</v>
      </c>
      <c r="H21" s="156">
        <v>32155128</v>
      </c>
      <c r="I21" s="156">
        <f>30962731+3104967+44604</f>
        <v>34112302</v>
      </c>
      <c r="J21" s="156">
        <v>44054439</v>
      </c>
      <c r="K21" s="156">
        <f>31425640+2675955</f>
        <v>34101595</v>
      </c>
      <c r="L21" s="156">
        <f>39524109+3274775</f>
        <v>42798884</v>
      </c>
      <c r="M21" s="156">
        <v>43094434</v>
      </c>
      <c r="N21" s="156">
        <f t="shared" si="3"/>
        <v>315548292</v>
      </c>
    </row>
    <row r="22" spans="1:14" x14ac:dyDescent="0.25">
      <c r="A22" s="46" t="s">
        <v>168</v>
      </c>
      <c r="B22" s="45" t="s">
        <v>157</v>
      </c>
      <c r="C22" s="141">
        <v>18000000</v>
      </c>
      <c r="D22" s="10"/>
      <c r="E22" s="156">
        <f t="shared" si="2"/>
        <v>18000000</v>
      </c>
      <c r="F22" s="156">
        <v>872693</v>
      </c>
      <c r="G22" s="156">
        <v>732668</v>
      </c>
      <c r="H22" s="156">
        <v>908761</v>
      </c>
      <c r="I22" s="156">
        <v>493649</v>
      </c>
      <c r="J22" s="156">
        <v>568745</v>
      </c>
      <c r="K22" s="156">
        <v>600964</v>
      </c>
      <c r="L22" s="156">
        <v>524697</v>
      </c>
      <c r="M22" s="156"/>
      <c r="N22" s="156">
        <f t="shared" si="3"/>
        <v>4702177</v>
      </c>
    </row>
    <row r="23" spans="1:14" x14ac:dyDescent="0.25">
      <c r="A23" s="46" t="s">
        <v>171</v>
      </c>
      <c r="B23" s="45" t="s">
        <v>329</v>
      </c>
      <c r="C23" s="141">
        <v>1000000</v>
      </c>
      <c r="D23" s="10"/>
      <c r="E23" s="156">
        <f t="shared" si="2"/>
        <v>1000000</v>
      </c>
      <c r="F23" s="156">
        <v>0</v>
      </c>
      <c r="G23" s="156">
        <v>0</v>
      </c>
      <c r="H23" s="156">
        <v>0</v>
      </c>
      <c r="I23" s="156">
        <v>0</v>
      </c>
      <c r="J23" s="156"/>
      <c r="K23" s="156"/>
      <c r="L23" s="156"/>
      <c r="M23" s="156"/>
      <c r="N23" s="156">
        <f t="shared" si="3"/>
        <v>0</v>
      </c>
    </row>
    <row r="24" spans="1:14" x14ac:dyDescent="0.25">
      <c r="A24" s="46" t="s">
        <v>174</v>
      </c>
      <c r="B24" s="45" t="s">
        <v>229</v>
      </c>
      <c r="C24" s="141">
        <v>15000000</v>
      </c>
      <c r="D24" s="10"/>
      <c r="E24" s="156">
        <f t="shared" si="2"/>
        <v>15000000</v>
      </c>
      <c r="F24" s="156">
        <v>1259360</v>
      </c>
      <c r="G24" s="156">
        <v>1511232</v>
      </c>
      <c r="H24" s="156">
        <v>1889040</v>
      </c>
      <c r="I24" s="156">
        <v>1889040</v>
      </c>
      <c r="J24" s="156">
        <v>1385296</v>
      </c>
      <c r="K24" s="156">
        <v>1889040</v>
      </c>
      <c r="L24" s="156">
        <v>3148400</v>
      </c>
      <c r="M24" s="156">
        <v>3148400</v>
      </c>
      <c r="N24" s="156">
        <f t="shared" si="3"/>
        <v>16119808</v>
      </c>
    </row>
    <row r="25" spans="1:14" x14ac:dyDescent="0.25">
      <c r="A25" s="46" t="s">
        <v>177</v>
      </c>
      <c r="B25" s="137" t="s">
        <v>330</v>
      </c>
      <c r="C25" s="141">
        <v>30000000</v>
      </c>
      <c r="D25" s="10"/>
      <c r="E25" s="156">
        <f t="shared" si="2"/>
        <v>30000000</v>
      </c>
      <c r="F25" s="156">
        <v>5082950</v>
      </c>
      <c r="G25" s="156">
        <v>5670888</v>
      </c>
      <c r="H25" s="156">
        <v>4844293</v>
      </c>
      <c r="I25" s="156">
        <v>3829754</v>
      </c>
      <c r="J25" s="156">
        <v>4750206</v>
      </c>
      <c r="K25" s="156">
        <v>3968724</v>
      </c>
      <c r="L25" s="156">
        <v>3612576</v>
      </c>
      <c r="M25" s="156">
        <v>3749979</v>
      </c>
      <c r="N25" s="156">
        <f t="shared" si="3"/>
        <v>35509370</v>
      </c>
    </row>
    <row r="26" spans="1:14" x14ac:dyDescent="0.25">
      <c r="A26" s="46" t="s">
        <v>180</v>
      </c>
      <c r="B26" s="137" t="s">
        <v>331</v>
      </c>
      <c r="C26" s="141">
        <v>1000000</v>
      </c>
      <c r="D26" s="10"/>
      <c r="E26" s="156">
        <f t="shared" si="2"/>
        <v>1000000</v>
      </c>
      <c r="F26" s="156">
        <v>0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/>
      <c r="M26" s="156"/>
      <c r="N26" s="156">
        <f t="shared" si="3"/>
        <v>0</v>
      </c>
    </row>
    <row r="27" spans="1:14" x14ac:dyDescent="0.25">
      <c r="A27" s="46" t="s">
        <v>183</v>
      </c>
      <c r="B27" s="45" t="s">
        <v>332</v>
      </c>
      <c r="C27" s="141">
        <v>15000000</v>
      </c>
      <c r="D27" s="10"/>
      <c r="E27" s="156">
        <f t="shared" si="2"/>
        <v>15000000</v>
      </c>
      <c r="F27" s="156">
        <v>0</v>
      </c>
      <c r="G27" s="156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1026896</v>
      </c>
      <c r="M27" s="158">
        <v>577629</v>
      </c>
      <c r="N27" s="156">
        <f t="shared" si="3"/>
        <v>1604525</v>
      </c>
    </row>
    <row r="28" spans="1:14" x14ac:dyDescent="0.25">
      <c r="A28" s="46" t="s">
        <v>186</v>
      </c>
      <c r="B28" s="45" t="s">
        <v>333</v>
      </c>
      <c r="C28" s="141">
        <v>15000000</v>
      </c>
      <c r="D28" s="10"/>
      <c r="E28" s="156">
        <f t="shared" si="2"/>
        <v>15000000</v>
      </c>
      <c r="F28" s="156">
        <v>445634</v>
      </c>
      <c r="G28" s="156">
        <v>449267</v>
      </c>
      <c r="H28" s="156">
        <v>641810</v>
      </c>
      <c r="I28" s="156">
        <v>898534</v>
      </c>
      <c r="J28" s="156">
        <v>898534</v>
      </c>
      <c r="K28" s="156">
        <v>834353</v>
      </c>
      <c r="L28" s="156">
        <v>1026896</v>
      </c>
      <c r="M28" s="156"/>
      <c r="N28" s="156">
        <f t="shared" si="3"/>
        <v>5195028</v>
      </c>
    </row>
    <row r="29" spans="1:14" x14ac:dyDescent="0.25">
      <c r="A29" s="46" t="s">
        <v>189</v>
      </c>
      <c r="B29" s="45" t="s">
        <v>334</v>
      </c>
      <c r="C29" s="141">
        <v>6000000</v>
      </c>
      <c r="D29" s="10"/>
      <c r="E29" s="156">
        <f t="shared" si="2"/>
        <v>6000000</v>
      </c>
      <c r="F29" s="156">
        <v>166318</v>
      </c>
      <c r="G29" s="156">
        <v>228765</v>
      </c>
      <c r="H29" s="156">
        <v>281601</v>
      </c>
      <c r="I29" s="156">
        <v>246186</v>
      </c>
      <c r="J29" s="156">
        <v>175738</v>
      </c>
      <c r="K29" s="156">
        <v>184544</v>
      </c>
      <c r="L29" s="156">
        <v>290216</v>
      </c>
      <c r="M29" s="156">
        <v>228956</v>
      </c>
      <c r="N29" s="156">
        <f t="shared" si="3"/>
        <v>1802324</v>
      </c>
    </row>
    <row r="30" spans="1:14" x14ac:dyDescent="0.25">
      <c r="A30" s="46" t="s">
        <v>192</v>
      </c>
      <c r="B30" s="45" t="s">
        <v>335</v>
      </c>
      <c r="C30" s="141">
        <v>7000000</v>
      </c>
      <c r="D30" s="10"/>
      <c r="E30" s="156">
        <f t="shared" si="2"/>
        <v>7000000</v>
      </c>
      <c r="F30" s="156">
        <v>4112416</v>
      </c>
      <c r="G30" s="156">
        <v>4611240</v>
      </c>
      <c r="H30" s="156">
        <v>4150116</v>
      </c>
      <c r="I30" s="156">
        <v>3227868</v>
      </c>
      <c r="J30" s="156">
        <v>4252588</v>
      </c>
      <c r="K30" s="156">
        <v>3688992</v>
      </c>
      <c r="L30" s="156">
        <v>5277308</v>
      </c>
      <c r="M30" s="156">
        <v>5277308</v>
      </c>
      <c r="N30" s="156">
        <f t="shared" si="3"/>
        <v>34597836</v>
      </c>
    </row>
    <row r="31" spans="1:14" x14ac:dyDescent="0.25">
      <c r="A31" s="46" t="s">
        <v>195</v>
      </c>
      <c r="B31" s="45" t="s">
        <v>336</v>
      </c>
      <c r="C31" s="141">
        <v>6000000</v>
      </c>
      <c r="D31" s="10"/>
      <c r="E31" s="156">
        <f t="shared" si="2"/>
        <v>6000000</v>
      </c>
      <c r="F31" s="156">
        <v>756057</v>
      </c>
      <c r="G31" s="156">
        <v>1105408</v>
      </c>
      <c r="H31" s="156">
        <v>1174496</v>
      </c>
      <c r="I31" s="156">
        <v>967232</v>
      </c>
      <c r="J31" s="156">
        <v>1727200</v>
      </c>
      <c r="K31" s="156">
        <v>1105408</v>
      </c>
      <c r="L31" s="156">
        <v>2970784</v>
      </c>
      <c r="M31" s="156">
        <v>1658112</v>
      </c>
      <c r="N31" s="156">
        <f t="shared" si="3"/>
        <v>11464697</v>
      </c>
    </row>
    <row r="32" spans="1:14" x14ac:dyDescent="0.25">
      <c r="A32" s="46" t="s">
        <v>198</v>
      </c>
      <c r="B32" s="45" t="s">
        <v>337</v>
      </c>
      <c r="C32" s="141">
        <v>250000</v>
      </c>
      <c r="D32" s="10"/>
      <c r="E32" s="156">
        <f t="shared" si="2"/>
        <v>250000</v>
      </c>
      <c r="F32" s="156">
        <v>0</v>
      </c>
      <c r="G32" s="156">
        <v>17943</v>
      </c>
      <c r="H32" s="156">
        <v>17943</v>
      </c>
      <c r="I32" s="156">
        <v>35886</v>
      </c>
      <c r="J32" s="156">
        <v>35886</v>
      </c>
      <c r="K32" s="156">
        <v>35886</v>
      </c>
      <c r="L32" s="156">
        <v>39327</v>
      </c>
      <c r="M32" s="156">
        <v>35886</v>
      </c>
      <c r="N32" s="156">
        <f t="shared" si="3"/>
        <v>218757</v>
      </c>
    </row>
    <row r="33" spans="1:14" x14ac:dyDescent="0.25">
      <c r="A33" s="46" t="s">
        <v>201</v>
      </c>
      <c r="B33" s="45" t="s">
        <v>193</v>
      </c>
      <c r="C33" s="141">
        <v>5000000</v>
      </c>
      <c r="D33" s="10"/>
      <c r="E33" s="156">
        <f t="shared" si="2"/>
        <v>5000000</v>
      </c>
      <c r="F33" s="156">
        <v>0</v>
      </c>
      <c r="G33" s="156">
        <v>545587</v>
      </c>
      <c r="H33" s="156">
        <v>0</v>
      </c>
      <c r="I33" s="156">
        <v>0</v>
      </c>
      <c r="J33" s="156">
        <v>0</v>
      </c>
      <c r="K33" s="156">
        <v>0</v>
      </c>
      <c r="L33" s="156">
        <v>0</v>
      </c>
      <c r="M33" s="156">
        <v>1038945</v>
      </c>
      <c r="N33" s="156">
        <f t="shared" si="3"/>
        <v>1584532</v>
      </c>
    </row>
    <row r="34" spans="1:14" x14ac:dyDescent="0.25">
      <c r="A34" s="46" t="s">
        <v>204</v>
      </c>
      <c r="B34" s="45" t="s">
        <v>196</v>
      </c>
      <c r="C34" s="141">
        <v>110000</v>
      </c>
      <c r="D34" s="10"/>
      <c r="E34" s="156">
        <f t="shared" si="2"/>
        <v>110000</v>
      </c>
      <c r="F34" s="156">
        <v>0</v>
      </c>
      <c r="G34" s="156">
        <v>0</v>
      </c>
      <c r="H34" s="156">
        <v>0</v>
      </c>
      <c r="I34" s="156">
        <v>0</v>
      </c>
      <c r="J34" s="156">
        <v>0</v>
      </c>
      <c r="K34" s="156">
        <v>0</v>
      </c>
      <c r="L34" s="156">
        <v>0</v>
      </c>
      <c r="M34" s="156"/>
      <c r="N34" s="156">
        <f t="shared" si="3"/>
        <v>0</v>
      </c>
    </row>
    <row r="35" spans="1:14" x14ac:dyDescent="0.25">
      <c r="A35" s="46" t="s">
        <v>207</v>
      </c>
      <c r="B35" s="45" t="s">
        <v>338</v>
      </c>
      <c r="C35" s="141">
        <v>1000000</v>
      </c>
      <c r="D35" s="10"/>
      <c r="E35" s="156">
        <f t="shared" si="2"/>
        <v>1000000</v>
      </c>
      <c r="F35" s="156">
        <v>27589</v>
      </c>
      <c r="G35" s="156">
        <v>0</v>
      </c>
      <c r="H35" s="156">
        <v>27589</v>
      </c>
      <c r="I35" s="156">
        <v>82767</v>
      </c>
      <c r="J35" s="156">
        <v>27589</v>
      </c>
      <c r="K35" s="156">
        <v>55178</v>
      </c>
      <c r="L35" s="156">
        <v>82767</v>
      </c>
      <c r="M35" s="156">
        <v>55178</v>
      </c>
      <c r="N35" s="156">
        <f t="shared" si="3"/>
        <v>358657</v>
      </c>
    </row>
    <row r="36" spans="1:14" x14ac:dyDescent="0.25">
      <c r="A36" s="46" t="s">
        <v>210</v>
      </c>
      <c r="B36" s="45" t="s">
        <v>166</v>
      </c>
      <c r="C36" s="141">
        <v>3850000</v>
      </c>
      <c r="D36" s="10"/>
      <c r="E36" s="156">
        <f t="shared" si="2"/>
        <v>3850000</v>
      </c>
      <c r="F36" s="156">
        <v>171880</v>
      </c>
      <c r="G36" s="156">
        <v>85940</v>
      </c>
      <c r="H36" s="156">
        <v>0</v>
      </c>
      <c r="I36" s="156">
        <v>171880</v>
      </c>
      <c r="J36" s="156">
        <v>343760</v>
      </c>
      <c r="K36" s="156">
        <v>85940</v>
      </c>
      <c r="L36" s="156">
        <v>85940</v>
      </c>
      <c r="M36" s="156">
        <f>85940+84239</f>
        <v>170179</v>
      </c>
      <c r="N36" s="156">
        <f t="shared" si="3"/>
        <v>1115519</v>
      </c>
    </row>
    <row r="37" spans="1:14" x14ac:dyDescent="0.25">
      <c r="A37" s="46" t="s">
        <v>213</v>
      </c>
      <c r="B37" s="45" t="s">
        <v>187</v>
      </c>
      <c r="C37" s="141">
        <v>2500000</v>
      </c>
      <c r="D37" s="10"/>
      <c r="E37" s="156">
        <f t="shared" si="2"/>
        <v>2500000</v>
      </c>
      <c r="F37" s="156">
        <v>536585</v>
      </c>
      <c r="G37" s="156">
        <v>229965</v>
      </c>
      <c r="H37" s="156">
        <v>459930</v>
      </c>
      <c r="I37" s="156">
        <v>383275</v>
      </c>
      <c r="J37" s="156">
        <v>613240</v>
      </c>
      <c r="K37" s="156">
        <v>153310</v>
      </c>
      <c r="L37" s="156">
        <v>153310</v>
      </c>
      <c r="M37" s="156">
        <v>76655</v>
      </c>
      <c r="N37" s="156">
        <f t="shared" si="3"/>
        <v>2606270</v>
      </c>
    </row>
    <row r="38" spans="1:14" x14ac:dyDescent="0.25">
      <c r="A38" s="46" t="s">
        <v>216</v>
      </c>
      <c r="B38" s="45" t="s">
        <v>339</v>
      </c>
      <c r="C38" s="141">
        <v>500000</v>
      </c>
      <c r="D38" s="10"/>
      <c r="E38" s="156">
        <f t="shared" si="2"/>
        <v>500000</v>
      </c>
      <c r="F38" s="156">
        <v>138099</v>
      </c>
      <c r="G38" s="156">
        <f>46033+149708</f>
        <v>195741</v>
      </c>
      <c r="H38" s="156">
        <v>46033</v>
      </c>
      <c r="I38" s="156">
        <v>46033</v>
      </c>
      <c r="J38" s="156">
        <v>0</v>
      </c>
      <c r="K38" s="156">
        <v>276198</v>
      </c>
      <c r="L38" s="156">
        <v>92066</v>
      </c>
      <c r="M38" s="156">
        <v>46033</v>
      </c>
      <c r="N38" s="156">
        <f t="shared" si="3"/>
        <v>840203</v>
      </c>
    </row>
    <row r="39" spans="1:14" x14ac:dyDescent="0.25">
      <c r="A39" s="46" t="s">
        <v>219</v>
      </c>
      <c r="B39" s="45" t="s">
        <v>199</v>
      </c>
      <c r="C39" s="141">
        <v>3500000</v>
      </c>
      <c r="D39" s="10"/>
      <c r="E39" s="156">
        <f t="shared" si="2"/>
        <v>3500000</v>
      </c>
      <c r="F39" s="156">
        <v>168642</v>
      </c>
      <c r="G39" s="156">
        <v>173554</v>
      </c>
      <c r="H39" s="156">
        <v>86777</v>
      </c>
      <c r="I39" s="156">
        <v>0</v>
      </c>
      <c r="J39" s="156">
        <v>173554</v>
      </c>
      <c r="K39" s="156">
        <v>86777</v>
      </c>
      <c r="L39" s="156">
        <v>86777</v>
      </c>
      <c r="M39" s="156">
        <v>173554</v>
      </c>
      <c r="N39" s="156">
        <f t="shared" si="3"/>
        <v>949635</v>
      </c>
    </row>
    <row r="40" spans="1:14" x14ac:dyDescent="0.25">
      <c r="A40" s="46" t="s">
        <v>222</v>
      </c>
      <c r="B40" s="45" t="s">
        <v>340</v>
      </c>
      <c r="C40" s="141">
        <v>1200000</v>
      </c>
      <c r="D40" s="10"/>
      <c r="E40" s="156">
        <f t="shared" si="2"/>
        <v>1200000</v>
      </c>
      <c r="F40" s="156">
        <v>34366</v>
      </c>
      <c r="G40" s="156">
        <v>68732</v>
      </c>
      <c r="H40" s="156">
        <v>34366</v>
      </c>
      <c r="I40" s="156">
        <v>137464</v>
      </c>
      <c r="J40" s="156">
        <v>34366</v>
      </c>
      <c r="K40" s="156">
        <v>171830</v>
      </c>
      <c r="L40" s="156">
        <v>103098</v>
      </c>
      <c r="M40" s="156">
        <f>34366+19824+119</f>
        <v>54309</v>
      </c>
      <c r="N40" s="156">
        <f t="shared" si="3"/>
        <v>638531</v>
      </c>
    </row>
    <row r="41" spans="1:14" x14ac:dyDescent="0.25">
      <c r="A41" s="46" t="s">
        <v>296</v>
      </c>
      <c r="B41" s="45" t="s">
        <v>341</v>
      </c>
      <c r="C41" s="141">
        <v>1000000</v>
      </c>
      <c r="D41" s="10"/>
      <c r="E41" s="156">
        <f t="shared" si="2"/>
        <v>1000000</v>
      </c>
      <c r="F41" s="156">
        <v>872693</v>
      </c>
      <c r="G41" s="156">
        <v>772668</v>
      </c>
      <c r="H41" s="156">
        <v>1008761</v>
      </c>
      <c r="I41" s="156">
        <v>493649</v>
      </c>
      <c r="J41" s="156">
        <v>1159002</v>
      </c>
      <c r="K41" s="156">
        <v>600964</v>
      </c>
      <c r="L41" s="156">
        <v>785496</v>
      </c>
      <c r="M41" s="156">
        <v>794131</v>
      </c>
      <c r="N41" s="156">
        <f t="shared" si="3"/>
        <v>6487364</v>
      </c>
    </row>
    <row r="42" spans="1:14" x14ac:dyDescent="0.25">
      <c r="A42" s="46" t="s">
        <v>297</v>
      </c>
      <c r="B42" s="45" t="s">
        <v>342</v>
      </c>
      <c r="C42" s="141">
        <v>77000000</v>
      </c>
      <c r="D42" s="10"/>
      <c r="E42" s="156">
        <f t="shared" si="2"/>
        <v>77000000</v>
      </c>
      <c r="F42" s="156">
        <v>1699600</v>
      </c>
      <c r="G42" s="156">
        <v>3548975</v>
      </c>
      <c r="H42" s="156">
        <v>2568974</v>
      </c>
      <c r="I42" s="156">
        <v>0</v>
      </c>
      <c r="J42" s="156">
        <v>987564</v>
      </c>
      <c r="K42" s="156">
        <v>8698756</v>
      </c>
      <c r="L42" s="156">
        <v>5897562</v>
      </c>
      <c r="M42" s="156">
        <f>651091+227976</f>
        <v>879067</v>
      </c>
      <c r="N42" s="156">
        <f t="shared" si="3"/>
        <v>24280498</v>
      </c>
    </row>
    <row r="43" spans="1:14" x14ac:dyDescent="0.25">
      <c r="A43" s="46" t="s">
        <v>225</v>
      </c>
      <c r="B43" s="45" t="s">
        <v>343</v>
      </c>
      <c r="C43" s="141">
        <v>40000000</v>
      </c>
      <c r="D43" s="10"/>
      <c r="E43" s="156">
        <f t="shared" si="2"/>
        <v>40000000</v>
      </c>
      <c r="F43" s="156">
        <v>2985647</v>
      </c>
      <c r="G43" s="156">
        <v>4621671</v>
      </c>
      <c r="H43" s="156">
        <f>4125644-H42+48076</f>
        <v>1604746</v>
      </c>
      <c r="I43" s="156">
        <v>1457759</v>
      </c>
      <c r="J43" s="156">
        <v>2227694</v>
      </c>
      <c r="K43" s="156">
        <v>2327070</v>
      </c>
      <c r="L43" s="156">
        <v>1817767</v>
      </c>
      <c r="M43" s="156">
        <v>3173533</v>
      </c>
      <c r="N43" s="156">
        <f t="shared" si="3"/>
        <v>20215887</v>
      </c>
    </row>
    <row r="44" spans="1:14" x14ac:dyDescent="0.25">
      <c r="A44" s="46" t="s">
        <v>228</v>
      </c>
      <c r="B44" s="45" t="s">
        <v>344</v>
      </c>
      <c r="C44" s="141">
        <v>15000000</v>
      </c>
      <c r="D44" s="10"/>
      <c r="E44" s="156">
        <f t="shared" si="2"/>
        <v>15000000</v>
      </c>
      <c r="F44" s="156">
        <v>1135035</v>
      </c>
      <c r="G44" s="156">
        <v>949110</v>
      </c>
      <c r="H44" s="156">
        <v>1284090</v>
      </c>
      <c r="I44" s="156">
        <v>725790</v>
      </c>
      <c r="J44" s="156">
        <v>1563240</v>
      </c>
      <c r="K44" s="158">
        <v>781620</v>
      </c>
      <c r="L44" s="158">
        <v>1004940</v>
      </c>
      <c r="M44" s="158">
        <v>1032855</v>
      </c>
      <c r="N44" s="156">
        <f t="shared" si="3"/>
        <v>8476680</v>
      </c>
    </row>
    <row r="45" spans="1:14" x14ac:dyDescent="0.25">
      <c r="A45" s="46" t="s">
        <v>231</v>
      </c>
      <c r="B45" s="45" t="s">
        <v>345</v>
      </c>
      <c r="C45" s="141">
        <v>15000000</v>
      </c>
      <c r="D45" s="10"/>
      <c r="E45" s="156">
        <f t="shared" si="2"/>
        <v>15000000</v>
      </c>
      <c r="F45" s="156">
        <f>746425+3120</f>
        <v>749545</v>
      </c>
      <c r="G45" s="156">
        <f>9720+1381560</f>
        <v>1391280</v>
      </c>
      <c r="H45" s="156">
        <f>25920+2485220</f>
        <v>2511140</v>
      </c>
      <c r="I45" s="156">
        <v>2973530</v>
      </c>
      <c r="J45" s="156">
        <f>16680+4720330</f>
        <v>4737010</v>
      </c>
      <c r="K45" s="156">
        <f>3576970+11160</f>
        <v>3588130</v>
      </c>
      <c r="L45" s="156">
        <v>4299510</v>
      </c>
      <c r="M45" s="156">
        <f>55080+3243490</f>
        <v>3298570</v>
      </c>
      <c r="N45" s="156">
        <f t="shared" si="3"/>
        <v>23548715</v>
      </c>
    </row>
    <row r="46" spans="1:14" x14ac:dyDescent="0.25">
      <c r="A46" s="46" t="s">
        <v>234</v>
      </c>
      <c r="B46" s="45" t="s">
        <v>220</v>
      </c>
      <c r="C46" s="141">
        <v>1000000</v>
      </c>
      <c r="D46" s="10"/>
      <c r="E46" s="156">
        <f t="shared" si="2"/>
        <v>1000000</v>
      </c>
      <c r="F46" s="156">
        <v>0</v>
      </c>
      <c r="G46" s="156">
        <v>34708</v>
      </c>
      <c r="H46" s="156">
        <v>82456</v>
      </c>
      <c r="I46" s="156">
        <v>0</v>
      </c>
      <c r="J46" s="156">
        <v>17354</v>
      </c>
      <c r="K46" s="156">
        <v>0</v>
      </c>
      <c r="L46" s="156"/>
      <c r="M46" s="156"/>
      <c r="N46" s="156">
        <f t="shared" si="3"/>
        <v>134518</v>
      </c>
    </row>
    <row r="47" spans="1:14" x14ac:dyDescent="0.25">
      <c r="A47" s="46" t="s">
        <v>237</v>
      </c>
      <c r="B47" s="45" t="s">
        <v>346</v>
      </c>
      <c r="C47" s="141">
        <v>1000000</v>
      </c>
      <c r="D47" s="10"/>
      <c r="E47" s="156">
        <f t="shared" si="2"/>
        <v>1000000</v>
      </c>
      <c r="F47" s="156">
        <v>0</v>
      </c>
      <c r="G47" s="156">
        <v>0</v>
      </c>
      <c r="H47" s="156">
        <v>0</v>
      </c>
      <c r="I47" s="156">
        <v>0</v>
      </c>
      <c r="J47" s="156">
        <v>0</v>
      </c>
      <c r="K47" s="156">
        <v>0</v>
      </c>
      <c r="L47" s="156"/>
      <c r="M47" s="156"/>
      <c r="N47" s="156">
        <f t="shared" si="3"/>
        <v>0</v>
      </c>
    </row>
    <row r="48" spans="1:14" x14ac:dyDescent="0.25">
      <c r="A48" s="46" t="s">
        <v>240</v>
      </c>
      <c r="B48" s="45" t="s">
        <v>347</v>
      </c>
      <c r="C48" s="141">
        <v>10000000</v>
      </c>
      <c r="D48" s="10"/>
      <c r="E48" s="156">
        <f t="shared" si="2"/>
        <v>10000000</v>
      </c>
      <c r="F48" s="156">
        <v>832968</v>
      </c>
      <c r="G48" s="156">
        <v>684567</v>
      </c>
      <c r="H48" s="156">
        <v>598745</v>
      </c>
      <c r="I48" s="156">
        <v>493649</v>
      </c>
      <c r="J48" s="156">
        <v>505698</v>
      </c>
      <c r="K48" s="156">
        <v>495623</v>
      </c>
      <c r="L48" s="156"/>
      <c r="M48" s="156"/>
      <c r="N48" s="156">
        <f t="shared" si="3"/>
        <v>3611250</v>
      </c>
    </row>
    <row r="49" spans="1:14" x14ac:dyDescent="0.25">
      <c r="A49" s="46" t="s">
        <v>348</v>
      </c>
      <c r="B49" s="45" t="s">
        <v>349</v>
      </c>
      <c r="C49" s="141">
        <v>1000000</v>
      </c>
      <c r="D49" s="10"/>
      <c r="E49" s="156">
        <f t="shared" si="2"/>
        <v>1000000</v>
      </c>
      <c r="F49" s="156">
        <v>0</v>
      </c>
      <c r="G49" s="156">
        <v>0</v>
      </c>
      <c r="H49" s="156">
        <v>0</v>
      </c>
      <c r="I49" s="156">
        <v>0</v>
      </c>
      <c r="J49" s="156">
        <v>0</v>
      </c>
      <c r="K49" s="156">
        <v>0</v>
      </c>
      <c r="L49" s="156"/>
      <c r="M49" s="156"/>
      <c r="N49" s="156">
        <f t="shared" si="3"/>
        <v>0</v>
      </c>
    </row>
    <row r="50" spans="1:14" x14ac:dyDescent="0.25">
      <c r="A50" s="46" t="s">
        <v>350</v>
      </c>
      <c r="B50" s="45" t="s">
        <v>351</v>
      </c>
      <c r="C50" s="141">
        <v>1000000</v>
      </c>
      <c r="D50" s="10"/>
      <c r="E50" s="156">
        <f t="shared" si="2"/>
        <v>1000000</v>
      </c>
      <c r="F50" s="156">
        <v>0</v>
      </c>
      <c r="G50" s="156">
        <v>0</v>
      </c>
      <c r="H50" s="156">
        <v>0</v>
      </c>
      <c r="I50" s="156">
        <v>0</v>
      </c>
      <c r="J50" s="156">
        <v>0</v>
      </c>
      <c r="K50" s="156">
        <v>0</v>
      </c>
      <c r="L50" s="156"/>
      <c r="M50" s="156"/>
      <c r="N50" s="156">
        <f t="shared" si="3"/>
        <v>0</v>
      </c>
    </row>
    <row r="51" spans="1:14" x14ac:dyDescent="0.25">
      <c r="A51" s="46" t="s">
        <v>352</v>
      </c>
      <c r="B51" s="45" t="s">
        <v>353</v>
      </c>
      <c r="C51" s="141">
        <v>1000000</v>
      </c>
      <c r="D51" s="10"/>
      <c r="E51" s="156">
        <f t="shared" si="2"/>
        <v>1000000</v>
      </c>
      <c r="F51" s="156">
        <v>0</v>
      </c>
      <c r="G51" s="156">
        <v>0</v>
      </c>
      <c r="H51" s="156">
        <v>0</v>
      </c>
      <c r="I51" s="156">
        <v>0</v>
      </c>
      <c r="J51" s="156">
        <v>0</v>
      </c>
      <c r="K51" s="156">
        <v>0</v>
      </c>
      <c r="L51" s="156"/>
      <c r="M51" s="156"/>
      <c r="N51" s="156">
        <f t="shared" si="3"/>
        <v>0</v>
      </c>
    </row>
    <row r="52" spans="1:14" x14ac:dyDescent="0.25">
      <c r="A52" s="46" t="s">
        <v>354</v>
      </c>
      <c r="B52" s="45" t="s">
        <v>355</v>
      </c>
      <c r="C52" s="141">
        <v>1000000</v>
      </c>
      <c r="D52" s="10"/>
      <c r="E52" s="156">
        <f t="shared" si="2"/>
        <v>1000000</v>
      </c>
      <c r="F52" s="156">
        <v>0</v>
      </c>
      <c r="G52" s="156">
        <v>0</v>
      </c>
      <c r="H52" s="156">
        <v>0</v>
      </c>
      <c r="I52" s="156">
        <v>0</v>
      </c>
      <c r="J52" s="156">
        <v>0</v>
      </c>
      <c r="K52" s="156">
        <v>155082</v>
      </c>
      <c r="L52" s="156"/>
      <c r="M52" s="156">
        <v>155082</v>
      </c>
      <c r="N52" s="156">
        <f t="shared" si="3"/>
        <v>310164</v>
      </c>
    </row>
    <row r="53" spans="1:14" x14ac:dyDescent="0.25">
      <c r="A53" s="46" t="s">
        <v>356</v>
      </c>
      <c r="B53" s="45" t="s">
        <v>357</v>
      </c>
      <c r="C53" s="141">
        <v>1000000</v>
      </c>
      <c r="D53" s="10"/>
      <c r="E53" s="156">
        <f t="shared" si="2"/>
        <v>1000000</v>
      </c>
      <c r="F53" s="156">
        <v>0</v>
      </c>
      <c r="G53" s="156">
        <v>0</v>
      </c>
      <c r="H53" s="156">
        <v>0</v>
      </c>
      <c r="I53" s="156">
        <v>0</v>
      </c>
      <c r="J53" s="156">
        <v>0</v>
      </c>
      <c r="K53" s="156">
        <v>0</v>
      </c>
      <c r="L53" s="156"/>
      <c r="M53" s="156">
        <v>34708</v>
      </c>
      <c r="N53" s="156">
        <f t="shared" si="3"/>
        <v>34708</v>
      </c>
    </row>
    <row r="54" spans="1:14" x14ac:dyDescent="0.25">
      <c r="A54" s="46" t="s">
        <v>358</v>
      </c>
      <c r="B54" s="45" t="s">
        <v>359</v>
      </c>
      <c r="C54" s="141">
        <v>1000000</v>
      </c>
      <c r="D54" s="10"/>
      <c r="E54" s="156">
        <f t="shared" si="2"/>
        <v>1000000</v>
      </c>
      <c r="F54" s="156">
        <v>0</v>
      </c>
      <c r="G54" s="156">
        <v>0</v>
      </c>
      <c r="H54" s="156">
        <v>0</v>
      </c>
      <c r="I54" s="156">
        <v>0</v>
      </c>
      <c r="J54" s="156">
        <v>0</v>
      </c>
      <c r="K54" s="156">
        <v>0</v>
      </c>
      <c r="L54" s="156"/>
      <c r="M54" s="156"/>
      <c r="N54" s="156">
        <f t="shared" si="3"/>
        <v>0</v>
      </c>
    </row>
    <row r="55" spans="1:14" x14ac:dyDescent="0.25">
      <c r="A55" s="46" t="s">
        <v>360</v>
      </c>
      <c r="B55" s="45" t="s">
        <v>361</v>
      </c>
      <c r="C55" s="141">
        <v>1000000</v>
      </c>
      <c r="D55" s="10"/>
      <c r="E55" s="156">
        <f t="shared" si="2"/>
        <v>1000000</v>
      </c>
      <c r="F55" s="156">
        <v>0</v>
      </c>
      <c r="G55" s="156">
        <v>0</v>
      </c>
      <c r="H55" s="156">
        <v>0</v>
      </c>
      <c r="I55" s="156">
        <v>0</v>
      </c>
      <c r="J55" s="156">
        <v>0</v>
      </c>
      <c r="K55" s="156">
        <v>0</v>
      </c>
      <c r="L55" s="156"/>
      <c r="M55" s="156"/>
      <c r="N55" s="156">
        <f t="shared" si="3"/>
        <v>0</v>
      </c>
    </row>
    <row r="56" spans="1:14" x14ac:dyDescent="0.25">
      <c r="A56" s="46" t="s">
        <v>362</v>
      </c>
      <c r="B56" s="45" t="s">
        <v>363</v>
      </c>
      <c r="C56" s="141">
        <v>100000</v>
      </c>
      <c r="D56" s="10"/>
      <c r="E56" s="156">
        <f t="shared" si="2"/>
        <v>100000</v>
      </c>
      <c r="F56" s="156">
        <v>0</v>
      </c>
      <c r="G56" s="156">
        <v>0</v>
      </c>
      <c r="H56" s="156">
        <v>0</v>
      </c>
      <c r="I56" s="156">
        <v>0</v>
      </c>
      <c r="J56" s="156">
        <v>0</v>
      </c>
      <c r="K56" s="156">
        <v>0</v>
      </c>
      <c r="L56" s="156"/>
      <c r="M56" s="156">
        <v>96152</v>
      </c>
      <c r="N56" s="156">
        <f t="shared" si="3"/>
        <v>96152</v>
      </c>
    </row>
    <row r="57" spans="1:14" x14ac:dyDescent="0.25">
      <c r="A57" s="46" t="s">
        <v>364</v>
      </c>
      <c r="B57" s="45" t="s">
        <v>365</v>
      </c>
      <c r="C57" s="141">
        <v>100000</v>
      </c>
      <c r="D57" s="10"/>
      <c r="E57" s="156">
        <f t="shared" si="2"/>
        <v>100000</v>
      </c>
      <c r="F57" s="156">
        <v>0</v>
      </c>
      <c r="G57" s="156">
        <v>0</v>
      </c>
      <c r="H57" s="156">
        <v>0</v>
      </c>
      <c r="I57" s="156">
        <v>0</v>
      </c>
      <c r="J57" s="156">
        <v>43701</v>
      </c>
      <c r="K57" s="156">
        <v>0</v>
      </c>
      <c r="L57" s="156"/>
      <c r="M57" s="156"/>
      <c r="N57" s="156">
        <f t="shared" si="3"/>
        <v>43701</v>
      </c>
    </row>
    <row r="58" spans="1:14" x14ac:dyDescent="0.25">
      <c r="A58" s="46" t="s">
        <v>366</v>
      </c>
      <c r="B58" s="45" t="s">
        <v>367</v>
      </c>
      <c r="C58" s="141">
        <v>100000</v>
      </c>
      <c r="D58" s="10"/>
      <c r="E58" s="156">
        <f t="shared" si="2"/>
        <v>100000</v>
      </c>
      <c r="F58" s="156">
        <v>0</v>
      </c>
      <c r="G58" s="156">
        <v>0</v>
      </c>
      <c r="H58" s="156">
        <v>0</v>
      </c>
      <c r="I58" s="156">
        <v>0</v>
      </c>
      <c r="J58" s="156">
        <v>0</v>
      </c>
      <c r="K58" s="156">
        <v>0</v>
      </c>
      <c r="L58" s="156"/>
      <c r="M58" s="156"/>
      <c r="N58" s="156">
        <f t="shared" si="3"/>
        <v>0</v>
      </c>
    </row>
    <row r="59" spans="1:14" x14ac:dyDescent="0.25">
      <c r="A59" s="46" t="s">
        <v>368</v>
      </c>
      <c r="B59" s="45" t="s">
        <v>369</v>
      </c>
      <c r="C59" s="141">
        <v>1000000</v>
      </c>
      <c r="D59" s="10"/>
      <c r="E59" s="156">
        <f t="shared" si="2"/>
        <v>1000000</v>
      </c>
      <c r="F59" s="156">
        <v>0</v>
      </c>
      <c r="G59" s="156">
        <v>0</v>
      </c>
      <c r="H59" s="156">
        <v>224562</v>
      </c>
      <c r="I59" s="156">
        <v>74854</v>
      </c>
      <c r="J59" s="156">
        <v>74854</v>
      </c>
      <c r="K59" s="156">
        <v>149708</v>
      </c>
      <c r="L59" s="156">
        <v>74854</v>
      </c>
      <c r="M59" s="156"/>
      <c r="N59" s="156">
        <f t="shared" si="3"/>
        <v>598832</v>
      </c>
    </row>
    <row r="60" spans="1:14" x14ac:dyDescent="0.25">
      <c r="A60" s="46" t="s">
        <v>370</v>
      </c>
      <c r="B60" s="45" t="s">
        <v>371</v>
      </c>
      <c r="C60" s="141">
        <v>300000</v>
      </c>
      <c r="D60" s="10"/>
      <c r="E60" s="156">
        <f t="shared" si="2"/>
        <v>300000</v>
      </c>
      <c r="F60" s="156">
        <v>0</v>
      </c>
      <c r="G60" s="156">
        <v>0</v>
      </c>
      <c r="H60" s="156">
        <v>0</v>
      </c>
      <c r="I60" s="156">
        <v>43511</v>
      </c>
      <c r="J60" s="156">
        <v>0</v>
      </c>
      <c r="K60" s="156">
        <v>0</v>
      </c>
      <c r="L60" s="156"/>
      <c r="M60" s="156"/>
      <c r="N60" s="156">
        <f t="shared" si="3"/>
        <v>43511</v>
      </c>
    </row>
    <row r="61" spans="1:14" x14ac:dyDescent="0.25">
      <c r="A61" s="46" t="s">
        <v>372</v>
      </c>
      <c r="B61" s="45" t="s">
        <v>373</v>
      </c>
      <c r="C61" s="141">
        <v>100000</v>
      </c>
      <c r="D61" s="10"/>
      <c r="E61" s="156">
        <f t="shared" si="2"/>
        <v>100000</v>
      </c>
      <c r="F61" s="156">
        <v>0</v>
      </c>
      <c r="G61" s="156">
        <v>0</v>
      </c>
      <c r="H61" s="156">
        <v>0</v>
      </c>
      <c r="I61" s="156">
        <v>0</v>
      </c>
      <c r="J61" s="156">
        <v>0</v>
      </c>
      <c r="K61" s="156">
        <v>0</v>
      </c>
      <c r="L61" s="156"/>
      <c r="M61" s="156"/>
      <c r="N61" s="156">
        <f t="shared" si="3"/>
        <v>0</v>
      </c>
    </row>
    <row r="62" spans="1:14" x14ac:dyDescent="0.25">
      <c r="A62" s="46" t="s">
        <v>374</v>
      </c>
      <c r="B62" s="45" t="s">
        <v>375</v>
      </c>
      <c r="C62" s="141">
        <v>100000</v>
      </c>
      <c r="D62" s="10"/>
      <c r="E62" s="156">
        <f t="shared" si="2"/>
        <v>100000</v>
      </c>
      <c r="F62" s="156">
        <v>0</v>
      </c>
      <c r="G62" s="156">
        <v>0</v>
      </c>
      <c r="H62" s="156">
        <v>0</v>
      </c>
      <c r="I62" s="156">
        <v>0</v>
      </c>
      <c r="J62" s="156">
        <v>0</v>
      </c>
      <c r="K62" s="156">
        <v>0</v>
      </c>
      <c r="L62" s="156"/>
      <c r="M62" s="156"/>
      <c r="N62" s="156">
        <f t="shared" si="3"/>
        <v>0</v>
      </c>
    </row>
    <row r="63" spans="1:14" x14ac:dyDescent="0.25">
      <c r="A63" s="46" t="s">
        <v>376</v>
      </c>
      <c r="B63" s="45" t="s">
        <v>377</v>
      </c>
      <c r="C63" s="141">
        <v>100000</v>
      </c>
      <c r="D63" s="10"/>
      <c r="E63" s="156">
        <f t="shared" si="2"/>
        <v>100000</v>
      </c>
      <c r="F63" s="156">
        <v>0</v>
      </c>
      <c r="G63" s="156">
        <v>0</v>
      </c>
      <c r="H63" s="156">
        <v>0</v>
      </c>
      <c r="I63" s="156">
        <v>0</v>
      </c>
      <c r="J63" s="156">
        <v>0</v>
      </c>
      <c r="K63" s="156">
        <v>0</v>
      </c>
      <c r="L63" s="156"/>
      <c r="M63" s="156"/>
      <c r="N63" s="156">
        <f t="shared" si="3"/>
        <v>0</v>
      </c>
    </row>
    <row r="64" spans="1:14" x14ac:dyDescent="0.25">
      <c r="A64" s="46" t="s">
        <v>378</v>
      </c>
      <c r="B64" s="45" t="s">
        <v>217</v>
      </c>
      <c r="C64" s="141">
        <v>100000</v>
      </c>
      <c r="D64" s="10"/>
      <c r="E64" s="156">
        <f t="shared" si="2"/>
        <v>100000</v>
      </c>
      <c r="F64" s="156">
        <v>0</v>
      </c>
      <c r="G64" s="156">
        <v>0</v>
      </c>
      <c r="H64" s="156">
        <v>0</v>
      </c>
      <c r="I64" s="156">
        <v>0</v>
      </c>
      <c r="J64" s="156">
        <v>0</v>
      </c>
      <c r="K64" s="156">
        <v>0</v>
      </c>
      <c r="L64" s="156"/>
      <c r="M64" s="156"/>
      <c r="N64" s="156">
        <f t="shared" si="3"/>
        <v>0</v>
      </c>
    </row>
    <row r="65" spans="1:14" x14ac:dyDescent="0.25">
      <c r="A65" s="46" t="s">
        <v>379</v>
      </c>
      <c r="B65" s="45" t="s">
        <v>223</v>
      </c>
      <c r="C65" s="141">
        <v>2000000000</v>
      </c>
      <c r="D65" s="10"/>
      <c r="E65" s="156">
        <f t="shared" si="2"/>
        <v>2000000000</v>
      </c>
      <c r="F65" s="156">
        <v>0</v>
      </c>
      <c r="G65" s="156">
        <v>0</v>
      </c>
      <c r="H65" s="156">
        <v>0</v>
      </c>
      <c r="I65" s="156">
        <v>0</v>
      </c>
      <c r="J65" s="156">
        <v>0</v>
      </c>
      <c r="K65" s="156">
        <v>0</v>
      </c>
      <c r="L65" s="156"/>
      <c r="M65" s="156"/>
      <c r="N65" s="156">
        <f t="shared" si="3"/>
        <v>0</v>
      </c>
    </row>
    <row r="66" spans="1:14" x14ac:dyDescent="0.25">
      <c r="A66" s="46" t="s">
        <v>380</v>
      </c>
      <c r="B66" s="45" t="s">
        <v>232</v>
      </c>
      <c r="C66" s="141">
        <v>100000</v>
      </c>
      <c r="D66" s="10"/>
      <c r="E66" s="156">
        <f t="shared" si="2"/>
        <v>100000</v>
      </c>
      <c r="F66" s="156">
        <v>0</v>
      </c>
      <c r="G66" s="156">
        <v>0</v>
      </c>
      <c r="H66" s="156">
        <v>0</v>
      </c>
      <c r="I66" s="156">
        <v>0</v>
      </c>
      <c r="J66" s="156">
        <v>0</v>
      </c>
      <c r="K66" s="156">
        <v>0</v>
      </c>
      <c r="L66" s="156"/>
      <c r="M66" s="156">
        <v>131510</v>
      </c>
      <c r="N66" s="156">
        <f t="shared" si="3"/>
        <v>131510</v>
      </c>
    </row>
    <row r="67" spans="1:14" x14ac:dyDescent="0.25">
      <c r="A67" s="46" t="s">
        <v>381</v>
      </c>
      <c r="B67" s="45" t="s">
        <v>127</v>
      </c>
      <c r="C67" s="141">
        <v>15000000</v>
      </c>
      <c r="D67" s="10"/>
      <c r="E67" s="156">
        <f t="shared" si="2"/>
        <v>15000000</v>
      </c>
      <c r="F67" s="156">
        <v>3438076</v>
      </c>
      <c r="G67" s="156">
        <v>3298780</v>
      </c>
      <c r="H67" s="156">
        <v>1582028</v>
      </c>
      <c r="I67" s="156">
        <v>3940812</v>
      </c>
      <c r="J67" s="156">
        <v>2511096</v>
      </c>
      <c r="K67" s="156">
        <v>3951740</v>
      </c>
      <c r="L67" s="156">
        <v>4717568</v>
      </c>
      <c r="M67" s="156">
        <v>5691544</v>
      </c>
      <c r="N67" s="156">
        <f t="shared" si="3"/>
        <v>29131644</v>
      </c>
    </row>
    <row r="68" spans="1:14" x14ac:dyDescent="0.25">
      <c r="A68" s="46" t="s">
        <v>382</v>
      </c>
      <c r="B68" s="45" t="s">
        <v>383</v>
      </c>
      <c r="C68" s="141">
        <v>100000</v>
      </c>
      <c r="D68" s="10"/>
      <c r="E68" s="156">
        <f t="shared" si="2"/>
        <v>100000</v>
      </c>
      <c r="F68" s="156">
        <v>0</v>
      </c>
      <c r="G68" s="156">
        <v>0</v>
      </c>
      <c r="H68" s="156">
        <v>0</v>
      </c>
      <c r="I68" s="156">
        <v>0</v>
      </c>
      <c r="J68" s="156"/>
      <c r="K68" s="156"/>
      <c r="L68" s="156"/>
      <c r="M68" s="156"/>
      <c r="N68" s="156">
        <f t="shared" si="3"/>
        <v>0</v>
      </c>
    </row>
    <row r="69" spans="1:14" x14ac:dyDescent="0.25">
      <c r="A69" s="46" t="s">
        <v>384</v>
      </c>
      <c r="B69" s="45" t="s">
        <v>241</v>
      </c>
      <c r="C69" s="141">
        <v>9000000</v>
      </c>
      <c r="D69" s="10"/>
      <c r="E69" s="156">
        <f t="shared" si="2"/>
        <v>9000000</v>
      </c>
      <c r="F69" s="156"/>
      <c r="G69" s="156">
        <v>1564897</v>
      </c>
      <c r="H69" s="156">
        <v>987564</v>
      </c>
      <c r="I69" s="156">
        <v>689742</v>
      </c>
      <c r="J69" s="156">
        <f>4140585+1867954</f>
        <v>6008539</v>
      </c>
      <c r="K69" s="156">
        <f>828117+351876+2922022</f>
        <v>4102015</v>
      </c>
      <c r="L69" s="156"/>
      <c r="M69" s="156"/>
      <c r="N69" s="156">
        <f t="shared" si="3"/>
        <v>13352757</v>
      </c>
    </row>
    <row r="70" spans="1:14" x14ac:dyDescent="0.25">
      <c r="A70" s="136"/>
      <c r="B70" s="137" t="s">
        <v>242</v>
      </c>
      <c r="C70" s="138">
        <f>C3+C5</f>
        <v>8500000000</v>
      </c>
      <c r="D70" s="10"/>
      <c r="E70" s="138">
        <f t="shared" ref="E70:N70" si="4">E3+E5</f>
        <v>8500000000</v>
      </c>
      <c r="F70" s="138">
        <f t="shared" si="4"/>
        <v>301909731</v>
      </c>
      <c r="G70" s="138">
        <f t="shared" si="4"/>
        <v>412356995</v>
      </c>
      <c r="H70" s="138">
        <f t="shared" si="4"/>
        <v>432092485</v>
      </c>
      <c r="I70" s="138">
        <f t="shared" si="4"/>
        <v>500793784</v>
      </c>
      <c r="J70" s="138">
        <f t="shared" si="4"/>
        <v>488943241</v>
      </c>
      <c r="K70" s="138">
        <f t="shared" si="4"/>
        <v>519512819</v>
      </c>
      <c r="L70" s="138">
        <f t="shared" si="4"/>
        <v>651589880</v>
      </c>
      <c r="M70" s="138">
        <f t="shared" si="4"/>
        <v>287887809</v>
      </c>
      <c r="N70" s="138">
        <f t="shared" si="4"/>
        <v>3595086744</v>
      </c>
    </row>
    <row r="71" spans="1:14" x14ac:dyDescent="0.25">
      <c r="A71" s="136">
        <v>2</v>
      </c>
      <c r="B71" s="144" t="s">
        <v>243</v>
      </c>
      <c r="C71" s="142"/>
      <c r="D71" s="10"/>
      <c r="E71" s="10"/>
    </row>
    <row r="72" spans="1:14" x14ac:dyDescent="0.25">
      <c r="A72" s="136">
        <v>2.1</v>
      </c>
      <c r="B72" s="137" t="s">
        <v>244</v>
      </c>
      <c r="C72" s="138">
        <v>0</v>
      </c>
      <c r="D72" s="10"/>
      <c r="E72" s="138">
        <v>0</v>
      </c>
    </row>
    <row r="73" spans="1:14" x14ac:dyDescent="0.25">
      <c r="A73" s="136">
        <v>2.2000000000000002</v>
      </c>
      <c r="B73" s="137" t="s">
        <v>246</v>
      </c>
      <c r="C73" s="138">
        <v>10000000</v>
      </c>
      <c r="D73" s="10"/>
      <c r="E73" s="138">
        <v>10000000</v>
      </c>
      <c r="F73" s="138">
        <v>0</v>
      </c>
      <c r="G73" s="138">
        <v>0</v>
      </c>
      <c r="H73" s="138">
        <v>0</v>
      </c>
      <c r="I73" s="138"/>
      <c r="J73" s="138"/>
      <c r="K73" s="138"/>
      <c r="L73" s="138"/>
      <c r="M73" s="138"/>
      <c r="N73" s="138">
        <v>0</v>
      </c>
    </row>
    <row r="74" spans="1:14" x14ac:dyDescent="0.25">
      <c r="A74" s="136">
        <v>2.2999999999999998</v>
      </c>
      <c r="B74" s="137" t="s">
        <v>248</v>
      </c>
      <c r="C74" s="138">
        <f>SUM(C75:C78)</f>
        <v>3200000000</v>
      </c>
      <c r="D74" s="10"/>
      <c r="E74" s="138">
        <f t="shared" ref="E74:M74" si="5">SUM(E75:E78)</f>
        <v>3200000000</v>
      </c>
      <c r="F74" s="138">
        <f t="shared" si="5"/>
        <v>197869634</v>
      </c>
      <c r="G74" s="138">
        <f t="shared" si="5"/>
        <v>215741174</v>
      </c>
      <c r="H74" s="138">
        <f t="shared" si="5"/>
        <v>257871476</v>
      </c>
      <c r="I74" s="138">
        <f t="shared" si="5"/>
        <v>180037481</v>
      </c>
      <c r="J74" s="138">
        <f t="shared" si="5"/>
        <v>186488024</v>
      </c>
      <c r="K74" s="138">
        <f t="shared" si="5"/>
        <v>335286750</v>
      </c>
      <c r="L74" s="138">
        <f t="shared" si="5"/>
        <v>444885769</v>
      </c>
      <c r="M74" s="138">
        <f t="shared" si="5"/>
        <v>341778845</v>
      </c>
      <c r="N74" s="138">
        <f>F74+G74+H74+I74+J74+K74+L74+M74</f>
        <v>2159959153</v>
      </c>
    </row>
    <row r="75" spans="1:14" x14ac:dyDescent="0.25">
      <c r="A75" s="46" t="s">
        <v>250</v>
      </c>
      <c r="B75" s="45" t="s">
        <v>251</v>
      </c>
      <c r="C75" s="141">
        <v>1400000000</v>
      </c>
      <c r="D75" s="10"/>
      <c r="E75" s="156">
        <f t="shared" ref="E75:E78" si="6">C75+D75</f>
        <v>1400000000</v>
      </c>
      <c r="F75" s="156">
        <v>92568754</v>
      </c>
      <c r="G75" s="156">
        <v>118954621</v>
      </c>
      <c r="H75" s="156">
        <v>129568462</v>
      </c>
      <c r="I75" s="156">
        <f>62628993+17640589</f>
        <v>80269582</v>
      </c>
      <c r="J75" s="156">
        <f>60140598+13220333</f>
        <v>73360931</v>
      </c>
      <c r="K75" s="156">
        <f>87487926+21157692</f>
        <v>108645618</v>
      </c>
      <c r="L75" s="156">
        <f>164478146+10157557</f>
        <v>174635703</v>
      </c>
      <c r="M75" s="156">
        <f>29540384+79278014</f>
        <v>108818398</v>
      </c>
      <c r="N75" s="156">
        <f t="shared" ref="N75:N78" si="7">F75+G75+H75+I75+J75+K75+L75+M75</f>
        <v>886822069</v>
      </c>
    </row>
    <row r="76" spans="1:14" x14ac:dyDescent="0.25">
      <c r="A76" s="46" t="s">
        <v>253</v>
      </c>
      <c r="B76" s="45" t="s">
        <v>406</v>
      </c>
      <c r="C76" s="141">
        <v>520000000</v>
      </c>
      <c r="D76" s="10"/>
      <c r="E76" s="156">
        <f t="shared" si="6"/>
        <v>520000000</v>
      </c>
      <c r="F76" s="156">
        <f>12841262+28975643</f>
        <v>41816905</v>
      </c>
      <c r="G76" s="156">
        <f>14109334+29875644</f>
        <v>43984978</v>
      </c>
      <c r="H76" s="156">
        <v>51698712</v>
      </c>
      <c r="I76" s="156">
        <f>41717920</f>
        <v>41717920</v>
      </c>
      <c r="J76" s="156">
        <f>38766919+21905590</f>
        <v>60672509</v>
      </c>
      <c r="K76" s="156">
        <f>79294641+28124993</f>
        <v>107419634</v>
      </c>
      <c r="L76" s="156">
        <v>137312066</v>
      </c>
      <c r="M76" s="156">
        <f>89388200+26672343</f>
        <v>116060543</v>
      </c>
      <c r="N76" s="156">
        <f t="shared" si="7"/>
        <v>600683267</v>
      </c>
    </row>
    <row r="77" spans="1:14" x14ac:dyDescent="0.25">
      <c r="A77" s="46" t="s">
        <v>256</v>
      </c>
      <c r="B77" s="45" t="s">
        <v>260</v>
      </c>
      <c r="C77" s="141">
        <v>630000000</v>
      </c>
      <c r="D77" s="10"/>
      <c r="E77" s="156">
        <f t="shared" si="6"/>
        <v>630000000</v>
      </c>
      <c r="F77" s="156">
        <v>38796421</v>
      </c>
      <c r="G77" s="156">
        <v>32546789</v>
      </c>
      <c r="H77" s="156">
        <v>39875642</v>
      </c>
      <c r="I77" s="156">
        <v>21715204</v>
      </c>
      <c r="J77" s="156">
        <v>19875642</v>
      </c>
      <c r="K77" s="156">
        <v>47137935</v>
      </c>
      <c r="L77" s="156">
        <f>241119+2762+58794621</f>
        <v>59038502</v>
      </c>
      <c r="M77" s="156">
        <f>39785842</f>
        <v>39785842</v>
      </c>
      <c r="N77" s="156">
        <f t="shared" si="7"/>
        <v>298771977</v>
      </c>
    </row>
    <row r="78" spans="1:14" x14ac:dyDescent="0.25">
      <c r="A78" s="46" t="s">
        <v>259</v>
      </c>
      <c r="B78" s="45" t="s">
        <v>263</v>
      </c>
      <c r="C78" s="141">
        <v>650000000</v>
      </c>
      <c r="D78" s="10"/>
      <c r="E78" s="156">
        <f t="shared" si="6"/>
        <v>650000000</v>
      </c>
      <c r="F78" s="156">
        <v>24687554</v>
      </c>
      <c r="G78" s="156">
        <v>20254786</v>
      </c>
      <c r="H78" s="156">
        <v>36728660</v>
      </c>
      <c r="I78" s="156">
        <v>36334775</v>
      </c>
      <c r="J78" s="156">
        <v>32578942</v>
      </c>
      <c r="K78" s="156">
        <v>72083563</v>
      </c>
      <c r="L78" s="156">
        <v>73899498</v>
      </c>
      <c r="M78" s="156">
        <f>52792458+24321604</f>
        <v>77114062</v>
      </c>
      <c r="N78" s="156">
        <f t="shared" si="7"/>
        <v>373681840</v>
      </c>
    </row>
    <row r="79" spans="1:14" x14ac:dyDescent="0.25">
      <c r="A79" s="46" t="s">
        <v>385</v>
      </c>
      <c r="B79" s="137" t="s">
        <v>265</v>
      </c>
      <c r="C79" s="138">
        <v>12000000</v>
      </c>
      <c r="D79" s="10"/>
      <c r="E79" s="138">
        <v>12000000</v>
      </c>
      <c r="F79" s="138">
        <v>0</v>
      </c>
      <c r="G79" s="138">
        <v>0</v>
      </c>
      <c r="H79" s="138">
        <v>0</v>
      </c>
      <c r="I79" s="138">
        <v>0</v>
      </c>
      <c r="J79" s="138">
        <v>0</v>
      </c>
      <c r="K79" s="138">
        <v>0</v>
      </c>
      <c r="L79" s="138">
        <v>0</v>
      </c>
      <c r="M79" s="138">
        <v>0</v>
      </c>
      <c r="N79" s="138">
        <v>0</v>
      </c>
    </row>
    <row r="80" spans="1:14" x14ac:dyDescent="0.25">
      <c r="A80" s="46" t="s">
        <v>386</v>
      </c>
      <c r="B80" s="137" t="s">
        <v>387</v>
      </c>
      <c r="C80" s="138">
        <v>1000000</v>
      </c>
      <c r="D80" s="10"/>
      <c r="E80" s="138">
        <v>1000000</v>
      </c>
      <c r="F80" s="158">
        <v>0</v>
      </c>
      <c r="G80" s="158">
        <v>0</v>
      </c>
      <c r="H80" s="158">
        <v>0</v>
      </c>
      <c r="I80" s="158">
        <v>0</v>
      </c>
      <c r="J80" s="158">
        <v>0</v>
      </c>
      <c r="K80" s="158">
        <v>0</v>
      </c>
      <c r="L80" s="158">
        <v>0</v>
      </c>
      <c r="M80" s="158">
        <v>0</v>
      </c>
      <c r="N80" s="158">
        <v>0</v>
      </c>
    </row>
    <row r="81" spans="1:14" x14ac:dyDescent="0.25">
      <c r="A81" s="136"/>
      <c r="B81" s="144" t="s">
        <v>268</v>
      </c>
      <c r="C81" s="140">
        <f>+C72+C73+C74+C79+C80</f>
        <v>3223000000</v>
      </c>
      <c r="D81" s="10"/>
      <c r="E81" s="140">
        <f t="shared" ref="E81:N81" si="8">+E72+E73+E74+E79+E80</f>
        <v>3223000000</v>
      </c>
      <c r="F81" s="140">
        <f t="shared" si="8"/>
        <v>197869634</v>
      </c>
      <c r="G81" s="140">
        <f t="shared" si="8"/>
        <v>215741174</v>
      </c>
      <c r="H81" s="140">
        <f t="shared" si="8"/>
        <v>257871476</v>
      </c>
      <c r="I81" s="140">
        <f t="shared" si="8"/>
        <v>180037481</v>
      </c>
      <c r="J81" s="140">
        <f t="shared" si="8"/>
        <v>186488024</v>
      </c>
      <c r="K81" s="140">
        <f t="shared" si="8"/>
        <v>335286750</v>
      </c>
      <c r="L81" s="140">
        <f t="shared" si="8"/>
        <v>444885769</v>
      </c>
      <c r="M81" s="140">
        <f t="shared" si="8"/>
        <v>341778845</v>
      </c>
      <c r="N81" s="140">
        <f t="shared" si="8"/>
        <v>2159959153</v>
      </c>
    </row>
    <row r="82" spans="1:14" ht="15.75" x14ac:dyDescent="0.25">
      <c r="A82" s="146" t="s">
        <v>407</v>
      </c>
      <c r="B82" s="147"/>
      <c r="C82" s="148">
        <f>+C70+C81</f>
        <v>11723000000</v>
      </c>
      <c r="D82" s="10"/>
      <c r="E82" s="148">
        <f t="shared" ref="E82:N82" si="9">+E70+E81</f>
        <v>11723000000</v>
      </c>
      <c r="F82" s="148">
        <f t="shared" si="9"/>
        <v>499779365</v>
      </c>
      <c r="G82" s="148">
        <f t="shared" si="9"/>
        <v>628098169</v>
      </c>
      <c r="H82" s="148">
        <f t="shared" si="9"/>
        <v>689963961</v>
      </c>
      <c r="I82" s="148">
        <f t="shared" si="9"/>
        <v>680831265</v>
      </c>
      <c r="J82" s="148">
        <f t="shared" si="9"/>
        <v>675431265</v>
      </c>
      <c r="K82" s="148">
        <f t="shared" si="9"/>
        <v>854799569</v>
      </c>
      <c r="L82" s="148">
        <f t="shared" si="9"/>
        <v>1096475649</v>
      </c>
      <c r="M82" s="148">
        <f t="shared" si="9"/>
        <v>629666654</v>
      </c>
      <c r="N82" s="148">
        <f t="shared" si="9"/>
        <v>5755045897</v>
      </c>
    </row>
  </sheetData>
  <mergeCells count="15">
    <mergeCell ref="M1:M2"/>
    <mergeCell ref="N1:N2"/>
    <mergeCell ref="A82:B8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EJEGAS 2016</vt:lpstr>
      <vt:lpstr>EJEING 2016</vt:lpstr>
      <vt:lpstr>EJEGAS 2017</vt:lpstr>
      <vt:lpstr>EJEING 2017</vt:lpstr>
      <vt:lpstr>EJEGAS 2018</vt:lpstr>
      <vt:lpstr>EJEING 2018</vt:lpstr>
      <vt:lpstr>EJEGAS 2019</vt:lpstr>
      <vt:lpstr>EJEING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Herazo</dc:creator>
  <cp:lastModifiedBy>Joaquin Herazo</cp:lastModifiedBy>
  <dcterms:created xsi:type="dcterms:W3CDTF">2019-09-13T22:02:36Z</dcterms:created>
  <dcterms:modified xsi:type="dcterms:W3CDTF">2019-09-13T22:10:09Z</dcterms:modified>
</cp:coreProperties>
</file>