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aquin_herazo\Documents\"/>
    </mc:Choice>
  </mc:AlternateContent>
  <bookViews>
    <workbookView xWindow="0" yWindow="0" windowWidth="20490" windowHeight="7155" firstSheet="1" activeTab="2"/>
  </bookViews>
  <sheets>
    <sheet name="PROY PPTO 2017" sheetId="1" r:id="rId1"/>
    <sheet name="PROY LIQ PPTO GASTO 2017" sheetId="2" r:id="rId2"/>
    <sheet name="PROY LIQ PPTO ING 2017" sheetId="3" r:id="rId3"/>
    <sheet name="Hoja1" sheetId="5" r:id="rId4"/>
    <sheet name="gastos" sheetId="7" r:id="rId5"/>
    <sheet name="ingresos" sheetId="8" r:id="rId6"/>
    <sheet name="Hoja2" sheetId="6" r:id="rId7"/>
    <sheet name="eje gas 2017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'PROY LIQ PPTO GASTO 2017'!$A$1:$T$75</definedName>
    <definedName name="_xlnm.Print_Area" localSheetId="2">'PROY LIQ PPTO ING 2017'!$A$3:$P$63</definedName>
  </definedNames>
  <calcPr calcId="152511"/>
</workbook>
</file>

<file path=xl/calcChain.xml><?xml version="1.0" encoding="utf-8"?>
<calcChain xmlns="http://schemas.openxmlformats.org/spreadsheetml/2006/main">
  <c r="G11" i="3" l="1"/>
  <c r="P66" i="9"/>
  <c r="O5" i="3"/>
  <c r="N5" i="3"/>
  <c r="M5" i="3"/>
  <c r="L5" i="3"/>
  <c r="J5" i="3"/>
  <c r="I5" i="3"/>
  <c r="H5" i="3"/>
  <c r="G5" i="3"/>
  <c r="F5" i="3"/>
  <c r="E5" i="3"/>
  <c r="R39" i="9" l="1"/>
  <c r="S70" i="9" l="1"/>
  <c r="R70" i="9"/>
  <c r="Q70" i="9"/>
  <c r="P70" i="9"/>
  <c r="O70" i="9"/>
  <c r="N70" i="9"/>
  <c r="M70" i="9"/>
  <c r="L70" i="9"/>
  <c r="K70" i="9"/>
  <c r="J70" i="9"/>
  <c r="I70" i="9"/>
  <c r="H70" i="9"/>
  <c r="F70" i="9"/>
  <c r="E70" i="9"/>
  <c r="D70" i="9"/>
  <c r="C70" i="9"/>
  <c r="T69" i="9"/>
  <c r="G69" i="9"/>
  <c r="T68" i="9"/>
  <c r="G68" i="9"/>
  <c r="T67" i="9"/>
  <c r="G67" i="9"/>
  <c r="T66" i="9"/>
  <c r="G66" i="9"/>
  <c r="T65" i="9"/>
  <c r="G65" i="9"/>
  <c r="T62" i="9"/>
  <c r="G62" i="9"/>
  <c r="T61" i="9"/>
  <c r="G61" i="9"/>
  <c r="T60" i="9"/>
  <c r="G60" i="9"/>
  <c r="T57" i="9"/>
  <c r="G57" i="9"/>
  <c r="T56" i="9"/>
  <c r="G56" i="9"/>
  <c r="T55" i="9"/>
  <c r="G55" i="9"/>
  <c r="S54" i="9"/>
  <c r="R54" i="9"/>
  <c r="Q54" i="9"/>
  <c r="P54" i="9"/>
  <c r="O54" i="9"/>
  <c r="N54" i="9"/>
  <c r="M54" i="9"/>
  <c r="L54" i="9"/>
  <c r="K54" i="9"/>
  <c r="J54" i="9"/>
  <c r="I54" i="9"/>
  <c r="H54" i="9"/>
  <c r="F54" i="9"/>
  <c r="C54" i="9"/>
  <c r="G54" i="9" s="1"/>
  <c r="T53" i="9"/>
  <c r="G53" i="9"/>
  <c r="T52" i="9"/>
  <c r="G52" i="9"/>
  <c r="T51" i="9"/>
  <c r="G51" i="9"/>
  <c r="T50" i="9"/>
  <c r="G50" i="9"/>
  <c r="S49" i="9"/>
  <c r="R49" i="9"/>
  <c r="Q49" i="9"/>
  <c r="P49" i="9"/>
  <c r="O49" i="9"/>
  <c r="N49" i="9"/>
  <c r="M49" i="9"/>
  <c r="L49" i="9"/>
  <c r="K49" i="9"/>
  <c r="J49" i="9"/>
  <c r="I49" i="9"/>
  <c r="H49" i="9"/>
  <c r="F49" i="9"/>
  <c r="E49" i="9"/>
  <c r="D49" i="9"/>
  <c r="C49" i="9"/>
  <c r="T47" i="9"/>
  <c r="G47" i="9"/>
  <c r="T46" i="9"/>
  <c r="G46" i="9"/>
  <c r="T45" i="9"/>
  <c r="G45" i="9"/>
  <c r="T44" i="9"/>
  <c r="G44" i="9"/>
  <c r="T43" i="9"/>
  <c r="G43" i="9"/>
  <c r="T42" i="9"/>
  <c r="G42" i="9"/>
  <c r="T41" i="9"/>
  <c r="G41" i="9"/>
  <c r="T40" i="9"/>
  <c r="G40" i="9"/>
  <c r="T39" i="9"/>
  <c r="G39" i="9"/>
  <c r="T38" i="9"/>
  <c r="G38" i="9"/>
  <c r="S37" i="9"/>
  <c r="R37" i="9"/>
  <c r="Q37" i="9"/>
  <c r="P37" i="9"/>
  <c r="O37" i="9"/>
  <c r="N37" i="9"/>
  <c r="M37" i="9"/>
  <c r="L37" i="9"/>
  <c r="K37" i="9"/>
  <c r="J37" i="9"/>
  <c r="I37" i="9"/>
  <c r="H37" i="9"/>
  <c r="F37" i="9"/>
  <c r="E37" i="9"/>
  <c r="D37" i="9"/>
  <c r="C37" i="9"/>
  <c r="T36" i="9"/>
  <c r="G36" i="9"/>
  <c r="T35" i="9"/>
  <c r="G35" i="9"/>
  <c r="T34" i="9"/>
  <c r="G34" i="9"/>
  <c r="T33" i="9"/>
  <c r="G33" i="9"/>
  <c r="T32" i="9"/>
  <c r="G32" i="9"/>
  <c r="T31" i="9"/>
  <c r="G31" i="9"/>
  <c r="S30" i="9"/>
  <c r="R30" i="9"/>
  <c r="Q30" i="9"/>
  <c r="P30" i="9"/>
  <c r="O30" i="9"/>
  <c r="N30" i="9"/>
  <c r="M30" i="9"/>
  <c r="L30" i="9"/>
  <c r="K30" i="9"/>
  <c r="J30" i="9"/>
  <c r="I30" i="9"/>
  <c r="H30" i="9"/>
  <c r="F30" i="9"/>
  <c r="E30" i="9"/>
  <c r="D30" i="9"/>
  <c r="C30" i="9"/>
  <c r="I28" i="9"/>
  <c r="H28" i="9"/>
  <c r="T28" i="9" s="1"/>
  <c r="E28" i="9"/>
  <c r="E22" i="9" s="1"/>
  <c r="S27" i="9"/>
  <c r="S22" i="9" s="1"/>
  <c r="R27" i="9"/>
  <c r="Q27" i="9"/>
  <c r="O27" i="9"/>
  <c r="N27" i="9"/>
  <c r="N22" i="9" s="1"/>
  <c r="M27" i="9"/>
  <c r="M22" i="9" s="1"/>
  <c r="L27" i="9"/>
  <c r="L22" i="9" s="1"/>
  <c r="K27" i="9"/>
  <c r="K22" i="9" s="1"/>
  <c r="G27" i="9"/>
  <c r="T26" i="9"/>
  <c r="G26" i="9"/>
  <c r="T25" i="9"/>
  <c r="G25" i="9"/>
  <c r="T24" i="9"/>
  <c r="G24" i="9"/>
  <c r="T23" i="9"/>
  <c r="G23" i="9"/>
  <c r="R22" i="9"/>
  <c r="Q22" i="9"/>
  <c r="P22" i="9"/>
  <c r="O22" i="9"/>
  <c r="J22" i="9"/>
  <c r="I22" i="9"/>
  <c r="F22" i="9"/>
  <c r="D22" i="9"/>
  <c r="C22" i="9"/>
  <c r="T21" i="9"/>
  <c r="G21" i="9"/>
  <c r="T20" i="9"/>
  <c r="G20" i="9"/>
  <c r="S19" i="9"/>
  <c r="T19" i="9" s="1"/>
  <c r="G19" i="9"/>
  <c r="T18" i="9"/>
  <c r="G18" i="9"/>
  <c r="R17" i="9"/>
  <c r="Q17" i="9"/>
  <c r="P17" i="9"/>
  <c r="O17" i="9"/>
  <c r="N17" i="9"/>
  <c r="M17" i="9"/>
  <c r="L17" i="9"/>
  <c r="K17" i="9"/>
  <c r="J17" i="9"/>
  <c r="I17" i="9"/>
  <c r="H17" i="9"/>
  <c r="F17" i="9"/>
  <c r="E17" i="9"/>
  <c r="D17" i="9"/>
  <c r="C17" i="9"/>
  <c r="T16" i="9"/>
  <c r="G16" i="9"/>
  <c r="T15" i="9"/>
  <c r="G15" i="9"/>
  <c r="T14" i="9"/>
  <c r="G14" i="9"/>
  <c r="T13" i="9"/>
  <c r="D13" i="9"/>
  <c r="G13" i="9" s="1"/>
  <c r="T12" i="9"/>
  <c r="G12" i="9"/>
  <c r="T11" i="9"/>
  <c r="G11" i="9"/>
  <c r="T10" i="9"/>
  <c r="G10" i="9"/>
  <c r="T9" i="9"/>
  <c r="G9" i="9"/>
  <c r="T8" i="9"/>
  <c r="G8" i="9"/>
  <c r="T7" i="9"/>
  <c r="E7" i="9"/>
  <c r="G7" i="9" s="1"/>
  <c r="T6" i="9"/>
  <c r="G6" i="9"/>
  <c r="S5" i="9"/>
  <c r="R5" i="9"/>
  <c r="Q5" i="9"/>
  <c r="P5" i="9"/>
  <c r="O5" i="9"/>
  <c r="N5" i="9"/>
  <c r="M5" i="9"/>
  <c r="L5" i="9"/>
  <c r="K5" i="9"/>
  <c r="J5" i="9"/>
  <c r="I5" i="9"/>
  <c r="H5" i="9"/>
  <c r="F5" i="9"/>
  <c r="E5" i="9"/>
  <c r="C5" i="9"/>
  <c r="G37" i="9" l="1"/>
  <c r="T17" i="9"/>
  <c r="H22" i="9"/>
  <c r="H58" i="9" s="1"/>
  <c r="H71" i="9" s="1"/>
  <c r="F58" i="9"/>
  <c r="F71" i="9" s="1"/>
  <c r="O58" i="9"/>
  <c r="O71" i="9" s="1"/>
  <c r="I58" i="9"/>
  <c r="I71" i="9" s="1"/>
  <c r="G30" i="9"/>
  <c r="P58" i="9"/>
  <c r="P71" i="9" s="1"/>
  <c r="J58" i="9"/>
  <c r="J71" i="9" s="1"/>
  <c r="R58" i="9"/>
  <c r="R71" i="9" s="1"/>
  <c r="T49" i="9"/>
  <c r="S17" i="9"/>
  <c r="S58" i="9" s="1"/>
  <c r="S71" i="9" s="1"/>
  <c r="G17" i="9"/>
  <c r="G49" i="9"/>
  <c r="G70" i="9"/>
  <c r="C58" i="9"/>
  <c r="C71" i="9" s="1"/>
  <c r="D5" i="9"/>
  <c r="D58" i="9" s="1"/>
  <c r="D71" i="9" s="1"/>
  <c r="T54" i="9"/>
  <c r="T70" i="9"/>
  <c r="N58" i="9"/>
  <c r="N71" i="9" s="1"/>
  <c r="Q58" i="9"/>
  <c r="Q71" i="9" s="1"/>
  <c r="T37" i="9"/>
  <c r="T30" i="9"/>
  <c r="T5" i="9"/>
  <c r="K58" i="9"/>
  <c r="K71" i="9" s="1"/>
  <c r="L58" i="9"/>
  <c r="L71" i="9" s="1"/>
  <c r="G5" i="9"/>
  <c r="M58" i="9"/>
  <c r="M71" i="9" s="1"/>
  <c r="E58" i="9"/>
  <c r="E71" i="9" s="1"/>
  <c r="T27" i="9"/>
  <c r="T22" i="9" s="1"/>
  <c r="G28" i="9"/>
  <c r="G22" i="9" s="1"/>
  <c r="G58" i="9" l="1"/>
  <c r="G71" i="9" s="1"/>
  <c r="T58" i="9"/>
  <c r="T71" i="9" s="1"/>
  <c r="M57" i="8"/>
  <c r="M56" i="8"/>
  <c r="M50" i="8"/>
  <c r="M49" i="8"/>
  <c r="M48" i="8"/>
  <c r="M43" i="8"/>
  <c r="M42" i="8"/>
  <c r="M41" i="8"/>
  <c r="M40" i="8"/>
  <c r="M39" i="8"/>
  <c r="M33" i="8"/>
  <c r="M32" i="8"/>
  <c r="M31" i="8"/>
  <c r="M30" i="8"/>
  <c r="M29" i="8"/>
  <c r="M28" i="8"/>
  <c r="M27" i="8"/>
  <c r="M26" i="8"/>
  <c r="M25" i="8"/>
  <c r="M24" i="8"/>
  <c r="M21" i="8"/>
  <c r="M19" i="8"/>
  <c r="M18" i="8"/>
  <c r="M17" i="8"/>
  <c r="M14" i="8"/>
  <c r="R69" i="7"/>
  <c r="R68" i="7"/>
  <c r="R67" i="7"/>
  <c r="R66" i="7"/>
  <c r="R65" i="7"/>
  <c r="R64" i="7"/>
  <c r="R63" i="7"/>
  <c r="R62" i="7"/>
  <c r="R61" i="7"/>
  <c r="R60" i="7"/>
  <c r="R59" i="7"/>
  <c r="R57" i="7"/>
  <c r="R56" i="7"/>
  <c r="R55" i="7"/>
  <c r="R53" i="7"/>
  <c r="R52" i="7"/>
  <c r="R51" i="7"/>
  <c r="R50" i="7"/>
  <c r="R48" i="7"/>
  <c r="R47" i="7"/>
  <c r="R46" i="7"/>
  <c r="R45" i="7"/>
  <c r="R44" i="7"/>
  <c r="R43" i="7"/>
  <c r="R42" i="7"/>
  <c r="R41" i="7"/>
  <c r="R40" i="7"/>
  <c r="R39" i="7"/>
  <c r="R38" i="7"/>
  <c r="R36" i="7"/>
  <c r="R35" i="7"/>
  <c r="R34" i="7"/>
  <c r="R33" i="7"/>
  <c r="R32" i="7"/>
  <c r="R31" i="7"/>
  <c r="R29" i="7"/>
  <c r="R26" i="7"/>
  <c r="R25" i="7"/>
  <c r="R24" i="7"/>
  <c r="R23" i="7"/>
  <c r="R21" i="7"/>
  <c r="R20" i="7"/>
  <c r="R19" i="7"/>
  <c r="R18" i="7"/>
  <c r="R16" i="7"/>
  <c r="R15" i="7"/>
  <c r="R14" i="7"/>
  <c r="R13" i="7"/>
  <c r="R12" i="7"/>
  <c r="R11" i="7"/>
  <c r="R10" i="7"/>
  <c r="R9" i="7"/>
  <c r="R8" i="7"/>
  <c r="R7" i="7"/>
  <c r="R6" i="7"/>
  <c r="K55" i="8"/>
  <c r="J55" i="8"/>
  <c r="I55" i="8"/>
  <c r="H55" i="8"/>
  <c r="G55" i="8"/>
  <c r="F55" i="8"/>
  <c r="E55" i="8"/>
  <c r="D55" i="8"/>
  <c r="M55" i="8" s="1"/>
  <c r="K54" i="8"/>
  <c r="K51" i="8" s="1"/>
  <c r="K58" i="8" s="1"/>
  <c r="J54" i="8"/>
  <c r="I54" i="8"/>
  <c r="H54" i="8"/>
  <c r="G54" i="8"/>
  <c r="M54" i="8" s="1"/>
  <c r="F54" i="8"/>
  <c r="E54" i="8"/>
  <c r="D54" i="8"/>
  <c r="D51" i="8" s="1"/>
  <c r="D58" i="8" s="1"/>
  <c r="J53" i="8"/>
  <c r="I53" i="8"/>
  <c r="H53" i="8"/>
  <c r="G53" i="8"/>
  <c r="F53" i="8"/>
  <c r="E53" i="8"/>
  <c r="D53" i="8"/>
  <c r="M53" i="8" s="1"/>
  <c r="J52" i="8"/>
  <c r="I52" i="8"/>
  <c r="H52" i="8"/>
  <c r="G52" i="8"/>
  <c r="F52" i="8"/>
  <c r="E52" i="8"/>
  <c r="E51" i="8" s="1"/>
  <c r="E58" i="8" s="1"/>
  <c r="D52" i="8"/>
  <c r="M52" i="8" s="1"/>
  <c r="L51" i="8"/>
  <c r="L58" i="8" s="1"/>
  <c r="C51" i="8"/>
  <c r="C58" i="8" s="1"/>
  <c r="H46" i="8"/>
  <c r="M46" i="8" s="1"/>
  <c r="G46" i="8"/>
  <c r="F46" i="8"/>
  <c r="H45" i="8"/>
  <c r="G45" i="8"/>
  <c r="F45" i="8"/>
  <c r="E45" i="8"/>
  <c r="D45" i="8"/>
  <c r="M45" i="8" s="1"/>
  <c r="H44" i="8"/>
  <c r="G44" i="8"/>
  <c r="F44" i="8"/>
  <c r="E44" i="8"/>
  <c r="D44" i="8"/>
  <c r="M44" i="8" s="1"/>
  <c r="H38" i="8"/>
  <c r="G38" i="8"/>
  <c r="F38" i="8"/>
  <c r="E38" i="8"/>
  <c r="M38" i="8" s="1"/>
  <c r="D38" i="8"/>
  <c r="H37" i="8"/>
  <c r="G37" i="8"/>
  <c r="F37" i="8"/>
  <c r="D37" i="8"/>
  <c r="M37" i="8" s="1"/>
  <c r="I36" i="8"/>
  <c r="H36" i="8"/>
  <c r="G36" i="8"/>
  <c r="F36" i="8"/>
  <c r="E36" i="8"/>
  <c r="D36" i="8"/>
  <c r="M36" i="8" s="1"/>
  <c r="H35" i="8"/>
  <c r="G35" i="8"/>
  <c r="F35" i="8"/>
  <c r="E35" i="8"/>
  <c r="D35" i="8"/>
  <c r="M35" i="8" s="1"/>
  <c r="H34" i="8"/>
  <c r="G34" i="8"/>
  <c r="F34" i="8"/>
  <c r="M34" i="8" s="1"/>
  <c r="E34" i="8"/>
  <c r="D34" i="8"/>
  <c r="H23" i="8"/>
  <c r="G23" i="8"/>
  <c r="F23" i="8"/>
  <c r="E23" i="8"/>
  <c r="D23" i="8"/>
  <c r="M23" i="8" s="1"/>
  <c r="K22" i="8"/>
  <c r="J22" i="8"/>
  <c r="I22" i="8"/>
  <c r="H20" i="8"/>
  <c r="G20" i="8"/>
  <c r="F20" i="8"/>
  <c r="E20" i="8"/>
  <c r="D20" i="8"/>
  <c r="M20" i="8" s="1"/>
  <c r="H16" i="8"/>
  <c r="G16" i="8"/>
  <c r="F16" i="8"/>
  <c r="E16" i="8"/>
  <c r="D16" i="8"/>
  <c r="M16" i="8" s="1"/>
  <c r="H15" i="8"/>
  <c r="G15" i="8"/>
  <c r="F15" i="8"/>
  <c r="E15" i="8"/>
  <c r="M15" i="8" s="1"/>
  <c r="D15" i="8"/>
  <c r="G13" i="8"/>
  <c r="F13" i="8"/>
  <c r="E13" i="8"/>
  <c r="D13" i="8"/>
  <c r="M13" i="8" s="1"/>
  <c r="H12" i="8"/>
  <c r="G12" i="8"/>
  <c r="F12" i="8"/>
  <c r="E12" i="8"/>
  <c r="D12" i="8"/>
  <c r="M12" i="8" s="1"/>
  <c r="H11" i="8"/>
  <c r="G11" i="8"/>
  <c r="F11" i="8"/>
  <c r="E11" i="8"/>
  <c r="D11" i="8"/>
  <c r="M11" i="8" s="1"/>
  <c r="H10" i="8"/>
  <c r="G10" i="8"/>
  <c r="F10" i="8"/>
  <c r="E10" i="8"/>
  <c r="D10" i="8"/>
  <c r="M10" i="8" s="1"/>
  <c r="K9" i="8"/>
  <c r="M9" i="8" s="1"/>
  <c r="J9" i="8"/>
  <c r="I9" i="8"/>
  <c r="D9" i="8"/>
  <c r="H8" i="8"/>
  <c r="G8" i="8"/>
  <c r="F8" i="8"/>
  <c r="E8" i="8"/>
  <c r="D8" i="8"/>
  <c r="M8" i="8" s="1"/>
  <c r="I7" i="8"/>
  <c r="H7" i="8"/>
  <c r="G7" i="8"/>
  <c r="F7" i="8"/>
  <c r="E7" i="8"/>
  <c r="D7" i="8"/>
  <c r="M7" i="8" s="1"/>
  <c r="J6" i="8"/>
  <c r="I6" i="8"/>
  <c r="H6" i="8"/>
  <c r="G6" i="8"/>
  <c r="F6" i="8"/>
  <c r="M6" i="8" s="1"/>
  <c r="E6" i="8"/>
  <c r="D6" i="8"/>
  <c r="L5" i="8"/>
  <c r="C5" i="8"/>
  <c r="L4" i="8"/>
  <c r="L3" i="8" s="1"/>
  <c r="L47" i="8" s="1"/>
  <c r="K4" i="8"/>
  <c r="K3" i="8" s="1"/>
  <c r="J3" i="8"/>
  <c r="I3" i="8"/>
  <c r="H3" i="8"/>
  <c r="G3" i="8"/>
  <c r="F3" i="8"/>
  <c r="E3" i="8"/>
  <c r="D3" i="8"/>
  <c r="C3" i="8"/>
  <c r="Q70" i="7"/>
  <c r="P70" i="7"/>
  <c r="O70" i="7"/>
  <c r="N70" i="7"/>
  <c r="M70" i="7"/>
  <c r="L70" i="7"/>
  <c r="K70" i="7"/>
  <c r="R70" i="7" s="1"/>
  <c r="J70" i="7"/>
  <c r="I70" i="7"/>
  <c r="G70" i="7"/>
  <c r="F70" i="7"/>
  <c r="E70" i="7"/>
  <c r="D70" i="7"/>
  <c r="H69" i="7"/>
  <c r="H68" i="7"/>
  <c r="H67" i="7"/>
  <c r="H66" i="7"/>
  <c r="H65" i="7"/>
  <c r="H62" i="7"/>
  <c r="H61" i="7"/>
  <c r="H60" i="7"/>
  <c r="H57" i="7"/>
  <c r="H56" i="7"/>
  <c r="H55" i="7"/>
  <c r="Q54" i="7"/>
  <c r="P54" i="7"/>
  <c r="O54" i="7"/>
  <c r="N54" i="7"/>
  <c r="M54" i="7"/>
  <c r="L54" i="7"/>
  <c r="K54" i="7"/>
  <c r="R54" i="7" s="1"/>
  <c r="J54" i="7"/>
  <c r="I54" i="7"/>
  <c r="G54" i="7"/>
  <c r="D54" i="7"/>
  <c r="H53" i="7"/>
  <c r="H52" i="7"/>
  <c r="H51" i="7"/>
  <c r="H50" i="7"/>
  <c r="Q49" i="7"/>
  <c r="P49" i="7"/>
  <c r="O49" i="7"/>
  <c r="N49" i="7"/>
  <c r="M49" i="7"/>
  <c r="L49" i="7"/>
  <c r="K49" i="7"/>
  <c r="J49" i="7"/>
  <c r="I49" i="7"/>
  <c r="R49" i="7" s="1"/>
  <c r="G49" i="7"/>
  <c r="F49" i="7"/>
  <c r="E49" i="7"/>
  <c r="D49" i="7"/>
  <c r="H47" i="7"/>
  <c r="H46" i="7"/>
  <c r="H45" i="7"/>
  <c r="H44" i="7"/>
  <c r="H43" i="7"/>
  <c r="H42" i="7"/>
  <c r="H41" i="7"/>
  <c r="H40" i="7"/>
  <c r="H39" i="7"/>
  <c r="H38" i="7"/>
  <c r="Q37" i="7"/>
  <c r="P37" i="7"/>
  <c r="O37" i="7"/>
  <c r="N37" i="7"/>
  <c r="M37" i="7"/>
  <c r="L37" i="7"/>
  <c r="K37" i="7"/>
  <c r="J37" i="7"/>
  <c r="I37" i="7"/>
  <c r="R37" i="7" s="1"/>
  <c r="G37" i="7"/>
  <c r="F37" i="7"/>
  <c r="E37" i="7"/>
  <c r="D37" i="7"/>
  <c r="H36" i="7"/>
  <c r="H35" i="7"/>
  <c r="H34" i="7"/>
  <c r="H33" i="7"/>
  <c r="H32" i="7"/>
  <c r="H31" i="7"/>
  <c r="H30" i="7" s="1"/>
  <c r="Q30" i="7"/>
  <c r="P30" i="7"/>
  <c r="O30" i="7"/>
  <c r="N30" i="7"/>
  <c r="M30" i="7"/>
  <c r="L30" i="7"/>
  <c r="K30" i="7"/>
  <c r="J30" i="7"/>
  <c r="I30" i="7"/>
  <c r="R30" i="7" s="1"/>
  <c r="G30" i="7"/>
  <c r="F30" i="7"/>
  <c r="E30" i="7"/>
  <c r="D30" i="7"/>
  <c r="J28" i="7"/>
  <c r="J22" i="7" s="1"/>
  <c r="I28" i="7"/>
  <c r="R28" i="7" s="1"/>
  <c r="F28" i="7"/>
  <c r="F22" i="7" s="1"/>
  <c r="P27" i="7"/>
  <c r="P22" i="7" s="1"/>
  <c r="O27" i="7"/>
  <c r="O22" i="7" s="1"/>
  <c r="N27" i="7"/>
  <c r="N22" i="7" s="1"/>
  <c r="M27" i="7"/>
  <c r="M22" i="7" s="1"/>
  <c r="L27" i="7"/>
  <c r="L22" i="7" s="1"/>
  <c r="H27" i="7"/>
  <c r="H26" i="7"/>
  <c r="H25" i="7"/>
  <c r="H24" i="7"/>
  <c r="H23" i="7"/>
  <c r="Q22" i="7"/>
  <c r="K22" i="7"/>
  <c r="G22" i="7"/>
  <c r="E22" i="7"/>
  <c r="D22" i="7"/>
  <c r="H21" i="7"/>
  <c r="H20" i="7"/>
  <c r="H19" i="7"/>
  <c r="H18" i="7"/>
  <c r="Q17" i="7"/>
  <c r="P17" i="7"/>
  <c r="O17" i="7"/>
  <c r="N17" i="7"/>
  <c r="M17" i="7"/>
  <c r="L17" i="7"/>
  <c r="K17" i="7"/>
  <c r="J17" i="7"/>
  <c r="I17" i="7"/>
  <c r="G17" i="7"/>
  <c r="F17" i="7"/>
  <c r="E17" i="7"/>
  <c r="D17" i="7"/>
  <c r="H16" i="7"/>
  <c r="H15" i="7"/>
  <c r="H14" i="7"/>
  <c r="E13" i="7"/>
  <c r="H13" i="7" s="1"/>
  <c r="H12" i="7"/>
  <c r="H11" i="7"/>
  <c r="H10" i="7"/>
  <c r="H9" i="7"/>
  <c r="H8" i="7"/>
  <c r="F7" i="7"/>
  <c r="H7" i="7" s="1"/>
  <c r="H6" i="7"/>
  <c r="Q5" i="7"/>
  <c r="P5" i="7"/>
  <c r="O5" i="7"/>
  <c r="N5" i="7"/>
  <c r="M5" i="7"/>
  <c r="L5" i="7"/>
  <c r="K5" i="7"/>
  <c r="J5" i="7"/>
  <c r="I5" i="7"/>
  <c r="G5" i="7"/>
  <c r="D5" i="7"/>
  <c r="K5" i="8" l="1"/>
  <c r="M22" i="8"/>
  <c r="E5" i="7"/>
  <c r="R27" i="7"/>
  <c r="M4" i="8"/>
  <c r="M3" i="8" s="1"/>
  <c r="H54" i="7"/>
  <c r="E5" i="8"/>
  <c r="J5" i="8"/>
  <c r="J47" i="8" s="1"/>
  <c r="K47" i="8"/>
  <c r="G5" i="8"/>
  <c r="G47" i="8" s="1"/>
  <c r="H51" i="8"/>
  <c r="H58" i="8" s="1"/>
  <c r="G51" i="8"/>
  <c r="G58" i="8" s="1"/>
  <c r="G59" i="8" s="1"/>
  <c r="H5" i="8"/>
  <c r="H47" i="8" s="1"/>
  <c r="H59" i="8" s="1"/>
  <c r="I51" i="8"/>
  <c r="I58" i="8" s="1"/>
  <c r="I5" i="8"/>
  <c r="I47" i="8" s="1"/>
  <c r="I59" i="8" s="1"/>
  <c r="J51" i="8"/>
  <c r="J58" i="8" s="1"/>
  <c r="F5" i="8"/>
  <c r="F47" i="8" s="1"/>
  <c r="D5" i="8"/>
  <c r="C47" i="8"/>
  <c r="C59" i="8" s="1"/>
  <c r="R5" i="7"/>
  <c r="H17" i="7"/>
  <c r="O58" i="7"/>
  <c r="O71" i="7" s="1"/>
  <c r="K58" i="7"/>
  <c r="K71" i="7" s="1"/>
  <c r="H49" i="7"/>
  <c r="I58" i="7"/>
  <c r="Q58" i="7"/>
  <c r="Q71" i="7" s="1"/>
  <c r="D58" i="7"/>
  <c r="D71" i="7" s="1"/>
  <c r="R17" i="7"/>
  <c r="I22" i="7"/>
  <c r="R22" i="7" s="1"/>
  <c r="E58" i="7"/>
  <c r="E71" i="7" s="1"/>
  <c r="F5" i="7"/>
  <c r="F58" i="7" s="1"/>
  <c r="F71" i="7" s="1"/>
  <c r="H37" i="7"/>
  <c r="H70" i="7"/>
  <c r="G58" i="7"/>
  <c r="G71" i="7" s="1"/>
  <c r="P58" i="7"/>
  <c r="P71" i="7" s="1"/>
  <c r="L58" i="7"/>
  <c r="L71" i="7" s="1"/>
  <c r="J58" i="7"/>
  <c r="J71" i="7" s="1"/>
  <c r="K59" i="8"/>
  <c r="L59" i="8"/>
  <c r="E47" i="8"/>
  <c r="E59" i="8" s="1"/>
  <c r="F51" i="8"/>
  <c r="F58" i="8" s="1"/>
  <c r="F59" i="8" s="1"/>
  <c r="M58" i="7"/>
  <c r="M71" i="7" s="1"/>
  <c r="N58" i="7"/>
  <c r="N71" i="7" s="1"/>
  <c r="H5" i="7"/>
  <c r="H28" i="7"/>
  <c r="H22" i="7" s="1"/>
  <c r="P45" i="3"/>
  <c r="P44" i="3"/>
  <c r="P43" i="3"/>
  <c r="P42" i="3"/>
  <c r="P41" i="3"/>
  <c r="P35" i="3"/>
  <c r="P34" i="3"/>
  <c r="P33" i="3"/>
  <c r="P32" i="3"/>
  <c r="P31" i="3"/>
  <c r="P30" i="3"/>
  <c r="P29" i="3"/>
  <c r="P28" i="3"/>
  <c r="P27" i="3"/>
  <c r="P26" i="3"/>
  <c r="P23" i="3"/>
  <c r="P20" i="3"/>
  <c r="P19" i="3"/>
  <c r="P16" i="3"/>
  <c r="M5" i="8" l="1"/>
  <c r="M51" i="8"/>
  <c r="D47" i="8"/>
  <c r="I71" i="7"/>
  <c r="R71" i="7" s="1"/>
  <c r="R58" i="7"/>
  <c r="M58" i="8"/>
  <c r="J59" i="8"/>
  <c r="H58" i="7"/>
  <c r="H71" i="7" s="1"/>
  <c r="D59" i="8" l="1"/>
  <c r="M59" i="8" s="1"/>
  <c r="M47" i="8"/>
  <c r="O53" i="3"/>
  <c r="O52" i="3" s="1"/>
  <c r="O59" i="3" s="1"/>
  <c r="O10" i="3"/>
  <c r="O24" i="3"/>
  <c r="O18" i="3"/>
  <c r="O11" i="3"/>
  <c r="O9" i="3"/>
  <c r="O8" i="3"/>
  <c r="O7" i="3" l="1"/>
  <c r="O48" i="3" s="1"/>
  <c r="O60" i="3" s="1"/>
  <c r="E7" i="2"/>
  <c r="D13" i="2"/>
  <c r="E28" i="2"/>
  <c r="S19" i="2" l="1"/>
  <c r="S17" i="2" s="1"/>
  <c r="T69" i="2"/>
  <c r="T68" i="2"/>
  <c r="T67" i="2"/>
  <c r="T66" i="2"/>
  <c r="T65" i="2"/>
  <c r="T62" i="2"/>
  <c r="T61" i="2"/>
  <c r="T60" i="2"/>
  <c r="T57" i="2"/>
  <c r="T56" i="2"/>
  <c r="T55" i="2"/>
  <c r="T53" i="2"/>
  <c r="T52" i="2"/>
  <c r="T51" i="2"/>
  <c r="T50" i="2"/>
  <c r="T47" i="2"/>
  <c r="T46" i="2"/>
  <c r="T45" i="2"/>
  <c r="T44" i="2"/>
  <c r="T43" i="2"/>
  <c r="T42" i="2"/>
  <c r="T41" i="2"/>
  <c r="T40" i="2"/>
  <c r="T39" i="2"/>
  <c r="T38" i="2"/>
  <c r="T36" i="2"/>
  <c r="T35" i="2"/>
  <c r="T34" i="2"/>
  <c r="T33" i="2"/>
  <c r="T32" i="2"/>
  <c r="T31" i="2"/>
  <c r="T26" i="2"/>
  <c r="T25" i="2"/>
  <c r="T24" i="2"/>
  <c r="T23" i="2"/>
  <c r="T21" i="2"/>
  <c r="T20" i="2"/>
  <c r="T19" i="2"/>
  <c r="T18" i="2"/>
  <c r="T16" i="2"/>
  <c r="T15" i="2"/>
  <c r="T14" i="2"/>
  <c r="T13" i="2"/>
  <c r="T12" i="2"/>
  <c r="T11" i="2"/>
  <c r="T10" i="2"/>
  <c r="T9" i="2"/>
  <c r="T8" i="2"/>
  <c r="T7" i="2"/>
  <c r="T6" i="2"/>
  <c r="S27" i="2"/>
  <c r="S22" i="2" s="1"/>
  <c r="S70" i="2"/>
  <c r="S54" i="2"/>
  <c r="S49" i="2"/>
  <c r="S37" i="2"/>
  <c r="S30" i="2"/>
  <c r="R30" i="2"/>
  <c r="R17" i="2"/>
  <c r="Q17" i="2"/>
  <c r="P17" i="2"/>
  <c r="O17" i="2"/>
  <c r="S5" i="2"/>
  <c r="T30" i="2" l="1"/>
  <c r="T54" i="2"/>
  <c r="T49" i="2"/>
  <c r="S58" i="2"/>
  <c r="S71" i="2" s="1"/>
  <c r="T70" i="2"/>
  <c r="T37" i="2"/>
  <c r="T17" i="2"/>
  <c r="N53" i="3" l="1"/>
  <c r="R27" i="2"/>
  <c r="N52" i="3" l="1"/>
  <c r="N59" i="3" s="1"/>
  <c r="N11" i="3"/>
  <c r="N8" i="3"/>
  <c r="R70" i="2"/>
  <c r="R54" i="2"/>
  <c r="R49" i="2"/>
  <c r="R37" i="2"/>
  <c r="R22" i="2"/>
  <c r="R5" i="2"/>
  <c r="A51" i="6"/>
  <c r="Q27" i="2"/>
  <c r="D11" i="3"/>
  <c r="D8" i="3"/>
  <c r="R58" i="2" l="1"/>
  <c r="R71" i="2" s="1"/>
  <c r="N7" i="3"/>
  <c r="N48" i="3" s="1"/>
  <c r="N60" i="3" s="1"/>
  <c r="J55" i="3"/>
  <c r="I56" i="3"/>
  <c r="I55" i="3"/>
  <c r="I54" i="3"/>
  <c r="I53" i="3"/>
  <c r="M40" i="3" l="1"/>
  <c r="M21" i="3"/>
  <c r="P21" i="3" s="1"/>
  <c r="M13" i="3"/>
  <c r="M18" i="3"/>
  <c r="M11" i="3"/>
  <c r="L52" i="3"/>
  <c r="M56" i="3"/>
  <c r="M55" i="3"/>
  <c r="M54" i="3"/>
  <c r="M53" i="3"/>
  <c r="M8" i="3"/>
  <c r="M24" i="3"/>
  <c r="M52" i="3" l="1"/>
  <c r="M59" i="3" s="1"/>
  <c r="M7" i="3"/>
  <c r="M48" i="3" s="1"/>
  <c r="Q70" i="2"/>
  <c r="Q54" i="2"/>
  <c r="Q49" i="2"/>
  <c r="Q37" i="2"/>
  <c r="Q30" i="2"/>
  <c r="P30" i="2"/>
  <c r="Q22" i="2"/>
  <c r="Q5" i="2"/>
  <c r="Q58" i="2" l="1"/>
  <c r="Q71" i="2" s="1"/>
  <c r="M60" i="3"/>
  <c r="P58" i="5"/>
  <c r="W57" i="5"/>
  <c r="V57" i="5"/>
  <c r="W56" i="5"/>
  <c r="V56" i="5"/>
  <c r="V55" i="5"/>
  <c r="U55" i="5"/>
  <c r="S55" i="5"/>
  <c r="Q55" i="5"/>
  <c r="O55" i="5"/>
  <c r="M55" i="5"/>
  <c r="K55" i="5"/>
  <c r="I55" i="5"/>
  <c r="G55" i="5"/>
  <c r="E55" i="5"/>
  <c r="V54" i="5"/>
  <c r="U54" i="5"/>
  <c r="S54" i="5"/>
  <c r="Q54" i="5"/>
  <c r="O54" i="5"/>
  <c r="M54" i="5"/>
  <c r="K54" i="5"/>
  <c r="I54" i="5"/>
  <c r="G54" i="5"/>
  <c r="E54" i="5"/>
  <c r="V53" i="5"/>
  <c r="U53" i="5"/>
  <c r="S53" i="5"/>
  <c r="Q53" i="5"/>
  <c r="O53" i="5"/>
  <c r="M53" i="5"/>
  <c r="K53" i="5"/>
  <c r="I53" i="5"/>
  <c r="G53" i="5"/>
  <c r="E53" i="5"/>
  <c r="V52" i="5"/>
  <c r="U52" i="5"/>
  <c r="S52" i="5"/>
  <c r="Q52" i="5"/>
  <c r="O52" i="5"/>
  <c r="M52" i="5"/>
  <c r="K52" i="5"/>
  <c r="I52" i="5"/>
  <c r="G52" i="5"/>
  <c r="E52" i="5"/>
  <c r="T51" i="5"/>
  <c r="T58" i="5" s="1"/>
  <c r="R51" i="5"/>
  <c r="R58" i="5" s="1"/>
  <c r="P51" i="5"/>
  <c r="N51" i="5"/>
  <c r="N58" i="5" s="1"/>
  <c r="L51" i="5"/>
  <c r="L58" i="5" s="1"/>
  <c r="J51" i="5"/>
  <c r="J58" i="5" s="1"/>
  <c r="H51" i="5"/>
  <c r="H58" i="5" s="1"/>
  <c r="F51" i="5"/>
  <c r="F58" i="5" s="1"/>
  <c r="D51" i="5"/>
  <c r="D58" i="5" s="1"/>
  <c r="C51" i="5"/>
  <c r="C58" i="5" s="1"/>
  <c r="W50" i="5"/>
  <c r="V50" i="5"/>
  <c r="W49" i="5"/>
  <c r="W48" i="5"/>
  <c r="V46" i="5"/>
  <c r="U46" i="5"/>
  <c r="S46" i="5"/>
  <c r="Q46" i="5"/>
  <c r="O46" i="5"/>
  <c r="M46" i="5"/>
  <c r="K46" i="5"/>
  <c r="I46" i="5"/>
  <c r="G46" i="5"/>
  <c r="E46" i="5"/>
  <c r="V45" i="5"/>
  <c r="U45" i="5"/>
  <c r="S45" i="5"/>
  <c r="Q45" i="5"/>
  <c r="O45" i="5"/>
  <c r="M45" i="5"/>
  <c r="K45" i="5"/>
  <c r="I45" i="5"/>
  <c r="G45" i="5"/>
  <c r="E45" i="5"/>
  <c r="V44" i="5"/>
  <c r="U44" i="5"/>
  <c r="S44" i="5"/>
  <c r="Q44" i="5"/>
  <c r="O44" i="5"/>
  <c r="M44" i="5"/>
  <c r="K44" i="5"/>
  <c r="I44" i="5"/>
  <c r="G44" i="5"/>
  <c r="E44" i="5"/>
  <c r="W43" i="5"/>
  <c r="V43" i="5"/>
  <c r="W42" i="5"/>
  <c r="V42" i="5"/>
  <c r="W41" i="5"/>
  <c r="V41" i="5"/>
  <c r="W40" i="5"/>
  <c r="V40" i="5"/>
  <c r="W39" i="5"/>
  <c r="V39" i="5"/>
  <c r="V38" i="5"/>
  <c r="U38" i="5"/>
  <c r="S38" i="5"/>
  <c r="Q38" i="5"/>
  <c r="O38" i="5"/>
  <c r="M38" i="5"/>
  <c r="K38" i="5"/>
  <c r="I38" i="5"/>
  <c r="G38" i="5"/>
  <c r="E38" i="5"/>
  <c r="V37" i="5"/>
  <c r="U37" i="5"/>
  <c r="S37" i="5"/>
  <c r="Q37" i="5"/>
  <c r="O37" i="5"/>
  <c r="M37" i="5"/>
  <c r="K37" i="5"/>
  <c r="I37" i="5"/>
  <c r="E37" i="5"/>
  <c r="V36" i="5"/>
  <c r="U36" i="5"/>
  <c r="S36" i="5"/>
  <c r="Q36" i="5"/>
  <c r="O36" i="5"/>
  <c r="M36" i="5"/>
  <c r="K36" i="5"/>
  <c r="I36" i="5"/>
  <c r="G36" i="5"/>
  <c r="E36" i="5"/>
  <c r="V35" i="5"/>
  <c r="U35" i="5"/>
  <c r="S35" i="5"/>
  <c r="Q35" i="5"/>
  <c r="O35" i="5"/>
  <c r="M35" i="5"/>
  <c r="K35" i="5"/>
  <c r="I35" i="5"/>
  <c r="G35" i="5"/>
  <c r="E35" i="5"/>
  <c r="V34" i="5"/>
  <c r="U34" i="5"/>
  <c r="S34" i="5"/>
  <c r="Q34" i="5"/>
  <c r="O34" i="5"/>
  <c r="M34" i="5"/>
  <c r="K34" i="5"/>
  <c r="I34" i="5"/>
  <c r="G34" i="5"/>
  <c r="E34" i="5"/>
  <c r="W33" i="5"/>
  <c r="V33" i="5"/>
  <c r="W32" i="5"/>
  <c r="V32" i="5"/>
  <c r="W31" i="5"/>
  <c r="V31" i="5"/>
  <c r="W30" i="5"/>
  <c r="V30" i="5"/>
  <c r="W29" i="5"/>
  <c r="V29" i="5"/>
  <c r="W28" i="5"/>
  <c r="V28" i="5"/>
  <c r="W27" i="5"/>
  <c r="V27" i="5"/>
  <c r="W26" i="5"/>
  <c r="V26" i="5"/>
  <c r="W25" i="5"/>
  <c r="V25" i="5"/>
  <c r="W24" i="5"/>
  <c r="V24" i="5"/>
  <c r="V23" i="5"/>
  <c r="U23" i="5"/>
  <c r="S23" i="5"/>
  <c r="Q23" i="5"/>
  <c r="O23" i="5"/>
  <c r="M23" i="5"/>
  <c r="K23" i="5"/>
  <c r="I23" i="5"/>
  <c r="G23" i="5"/>
  <c r="E23" i="5"/>
  <c r="W22" i="5"/>
  <c r="V22" i="5"/>
  <c r="W21" i="5"/>
  <c r="V21" i="5"/>
  <c r="V20" i="5"/>
  <c r="U20" i="5"/>
  <c r="S20" i="5"/>
  <c r="Q20" i="5"/>
  <c r="O20" i="5"/>
  <c r="M20" i="5"/>
  <c r="K20" i="5"/>
  <c r="I20" i="5"/>
  <c r="G20" i="5"/>
  <c r="E20" i="5"/>
  <c r="W19" i="5"/>
  <c r="V19" i="5"/>
  <c r="W18" i="5"/>
  <c r="V18" i="5"/>
  <c r="W17" i="5"/>
  <c r="V17" i="5"/>
  <c r="V16" i="5"/>
  <c r="U16" i="5"/>
  <c r="S16" i="5"/>
  <c r="Q16" i="5"/>
  <c r="O16" i="5"/>
  <c r="M16" i="5"/>
  <c r="K16" i="5"/>
  <c r="I16" i="5"/>
  <c r="G16" i="5"/>
  <c r="E16" i="5"/>
  <c r="V15" i="5"/>
  <c r="U15" i="5"/>
  <c r="S15" i="5"/>
  <c r="Q15" i="5"/>
  <c r="O15" i="5"/>
  <c r="M15" i="5"/>
  <c r="K15" i="5"/>
  <c r="I15" i="5"/>
  <c r="G15" i="5"/>
  <c r="E15" i="5"/>
  <c r="W14" i="5"/>
  <c r="V14" i="5"/>
  <c r="V13" i="5"/>
  <c r="U13" i="5"/>
  <c r="S13" i="5"/>
  <c r="O13" i="5"/>
  <c r="K13" i="5"/>
  <c r="I13" i="5"/>
  <c r="G13" i="5"/>
  <c r="E13" i="5"/>
  <c r="V12" i="5"/>
  <c r="U12" i="5"/>
  <c r="S12" i="5"/>
  <c r="Q12" i="5"/>
  <c r="O12" i="5"/>
  <c r="M12" i="5"/>
  <c r="K12" i="5"/>
  <c r="I12" i="5"/>
  <c r="G12" i="5"/>
  <c r="E12" i="5"/>
  <c r="V11" i="5"/>
  <c r="U11" i="5"/>
  <c r="S11" i="5"/>
  <c r="Q11" i="5"/>
  <c r="O11" i="5"/>
  <c r="M11" i="5"/>
  <c r="K11" i="5"/>
  <c r="I11" i="5"/>
  <c r="G11" i="5"/>
  <c r="E11" i="5"/>
  <c r="V10" i="5"/>
  <c r="U10" i="5"/>
  <c r="S10" i="5"/>
  <c r="Q10" i="5"/>
  <c r="O10" i="5"/>
  <c r="M10" i="5"/>
  <c r="K10" i="5"/>
  <c r="I10" i="5"/>
  <c r="G10" i="5"/>
  <c r="E10" i="5"/>
  <c r="W9" i="5"/>
  <c r="V9" i="5"/>
  <c r="V8" i="5"/>
  <c r="U8" i="5"/>
  <c r="S8" i="5"/>
  <c r="Q8" i="5"/>
  <c r="O8" i="5"/>
  <c r="M8" i="5"/>
  <c r="K8" i="5"/>
  <c r="I8" i="5"/>
  <c r="G8" i="5"/>
  <c r="E8" i="5"/>
  <c r="V7" i="5"/>
  <c r="U7" i="5"/>
  <c r="S7" i="5"/>
  <c r="Q7" i="5"/>
  <c r="O7" i="5"/>
  <c r="M7" i="5"/>
  <c r="K7" i="5"/>
  <c r="I7" i="5"/>
  <c r="G7" i="5"/>
  <c r="E7" i="5"/>
  <c r="V6" i="5"/>
  <c r="U6" i="5"/>
  <c r="S6" i="5"/>
  <c r="Q6" i="5"/>
  <c r="O6" i="5"/>
  <c r="M6" i="5"/>
  <c r="K6" i="5"/>
  <c r="I6" i="5"/>
  <c r="G6" i="5"/>
  <c r="E6" i="5"/>
  <c r="T5" i="5"/>
  <c r="R5" i="5"/>
  <c r="P5" i="5"/>
  <c r="N5" i="5"/>
  <c r="L5" i="5"/>
  <c r="J5" i="5"/>
  <c r="H5" i="5"/>
  <c r="F5" i="5"/>
  <c r="D5" i="5"/>
  <c r="C5" i="5"/>
  <c r="V4" i="5"/>
  <c r="V3" i="5" s="1"/>
  <c r="S4" i="5"/>
  <c r="S3" i="5" s="1"/>
  <c r="U3" i="5"/>
  <c r="T3" i="5"/>
  <c r="R3" i="5"/>
  <c r="Q3" i="5"/>
  <c r="P3" i="5"/>
  <c r="O3" i="5"/>
  <c r="N3" i="5"/>
  <c r="N47" i="5" s="1"/>
  <c r="M3" i="5"/>
  <c r="L3" i="5"/>
  <c r="L47" i="5" s="1"/>
  <c r="K3" i="5"/>
  <c r="J3" i="5"/>
  <c r="J47" i="5" s="1"/>
  <c r="J59" i="5" s="1"/>
  <c r="I3" i="5"/>
  <c r="H3" i="5"/>
  <c r="G3" i="5"/>
  <c r="F3" i="5"/>
  <c r="E3" i="5"/>
  <c r="D3" i="5"/>
  <c r="C3" i="5"/>
  <c r="H47" i="5" l="1"/>
  <c r="W4" i="5"/>
  <c r="V5" i="5"/>
  <c r="C47" i="5"/>
  <c r="C59" i="5" s="1"/>
  <c r="T47" i="5"/>
  <c r="T59" i="5" s="1"/>
  <c r="V47" i="5"/>
  <c r="F47" i="5"/>
  <c r="F59" i="5" s="1"/>
  <c r="N59" i="5"/>
  <c r="H59" i="5"/>
  <c r="V51" i="5"/>
  <c r="V58" i="5" s="1"/>
  <c r="P47" i="5"/>
  <c r="P59" i="5" s="1"/>
  <c r="R47" i="5"/>
  <c r="R59" i="5" s="1"/>
  <c r="D47" i="5"/>
  <c r="D59" i="5" s="1"/>
  <c r="L59" i="5"/>
  <c r="G51" i="5"/>
  <c r="G58" i="5" s="1"/>
  <c r="M51" i="5"/>
  <c r="M58" i="5" s="1"/>
  <c r="U51" i="5"/>
  <c r="U58" i="5" s="1"/>
  <c r="W45" i="5"/>
  <c r="O51" i="5"/>
  <c r="O58" i="5" s="1"/>
  <c r="Q51" i="5"/>
  <c r="Q58" i="5" s="1"/>
  <c r="I5" i="5"/>
  <c r="I47" i="5" s="1"/>
  <c r="W13" i="5"/>
  <c r="W34" i="5"/>
  <c r="W52" i="5"/>
  <c r="G5" i="5"/>
  <c r="G47" i="5" s="1"/>
  <c r="K5" i="5"/>
  <c r="K47" i="5" s="1"/>
  <c r="W38" i="5"/>
  <c r="W44" i="5"/>
  <c r="E51" i="5"/>
  <c r="E58" i="5" s="1"/>
  <c r="K51" i="5"/>
  <c r="K58" i="5" s="1"/>
  <c r="S51" i="5"/>
  <c r="S58" i="5" s="1"/>
  <c r="W46" i="5"/>
  <c r="Q5" i="5"/>
  <c r="Q47" i="5" s="1"/>
  <c r="W10" i="5"/>
  <c r="W11" i="5"/>
  <c r="W15" i="5"/>
  <c r="W16" i="5"/>
  <c r="W35" i="5"/>
  <c r="W53" i="5"/>
  <c r="O5" i="5"/>
  <c r="O47" i="5" s="1"/>
  <c r="S5" i="5"/>
  <c r="S47" i="5" s="1"/>
  <c r="W7" i="5"/>
  <c r="W8" i="5"/>
  <c r="M5" i="5"/>
  <c r="M47" i="5" s="1"/>
  <c r="U5" i="5"/>
  <c r="U47" i="5" s="1"/>
  <c r="U59" i="5" s="1"/>
  <c r="W12" i="5"/>
  <c r="W20" i="5"/>
  <c r="W23" i="5"/>
  <c r="W36" i="5"/>
  <c r="W37" i="5"/>
  <c r="I51" i="5"/>
  <c r="I58" i="5" s="1"/>
  <c r="W54" i="5"/>
  <c r="W55" i="5"/>
  <c r="W3" i="5"/>
  <c r="W6" i="5"/>
  <c r="E5" i="5"/>
  <c r="E47" i="5" s="1"/>
  <c r="M59" i="5" l="1"/>
  <c r="V59" i="5"/>
  <c r="O59" i="5"/>
  <c r="G59" i="5"/>
  <c r="S59" i="5"/>
  <c r="K59" i="5"/>
  <c r="I59" i="5"/>
  <c r="Q59" i="5"/>
  <c r="W51" i="5"/>
  <c r="W58" i="5" s="1"/>
  <c r="W5" i="5"/>
  <c r="W47" i="5" s="1"/>
  <c r="E59" i="5"/>
  <c r="W59" i="5" l="1"/>
  <c r="K6" i="3"/>
  <c r="L59" i="3"/>
  <c r="P70" i="2"/>
  <c r="P54" i="2"/>
  <c r="P49" i="2"/>
  <c r="P37" i="2"/>
  <c r="P22" i="2"/>
  <c r="P5" i="2"/>
  <c r="K5" i="3" l="1"/>
  <c r="P6" i="3"/>
  <c r="P5" i="3" s="1"/>
  <c r="P58" i="2"/>
  <c r="P71" i="2" s="1"/>
  <c r="K56" i="3"/>
  <c r="K55" i="3"/>
  <c r="K24" i="3"/>
  <c r="K11" i="3"/>
  <c r="O27" i="2"/>
  <c r="O22" i="2" s="1"/>
  <c r="N27" i="2"/>
  <c r="O70" i="2"/>
  <c r="O54" i="2"/>
  <c r="O49" i="2"/>
  <c r="O37" i="2"/>
  <c r="O30" i="2"/>
  <c r="O5" i="2"/>
  <c r="C31" i="1"/>
  <c r="C9" i="1"/>
  <c r="C6" i="1"/>
  <c r="F70" i="2"/>
  <c r="E70" i="2"/>
  <c r="D70" i="2"/>
  <c r="G69" i="2"/>
  <c r="G68" i="2"/>
  <c r="G67" i="2"/>
  <c r="G66" i="2"/>
  <c r="G65" i="2"/>
  <c r="G62" i="2"/>
  <c r="G61" i="2"/>
  <c r="G60" i="2"/>
  <c r="G57" i="2"/>
  <c r="G56" i="2"/>
  <c r="G55" i="2"/>
  <c r="G53" i="2"/>
  <c r="G52" i="2"/>
  <c r="G51" i="2"/>
  <c r="G50" i="2"/>
  <c r="F49" i="2"/>
  <c r="E49" i="2"/>
  <c r="D49" i="2"/>
  <c r="G47" i="2"/>
  <c r="G46" i="2"/>
  <c r="G45" i="2"/>
  <c r="G44" i="2"/>
  <c r="G43" i="2"/>
  <c r="G42" i="2"/>
  <c r="G41" i="2"/>
  <c r="G40" i="2"/>
  <c r="G39" i="2"/>
  <c r="G38" i="2"/>
  <c r="F37" i="2"/>
  <c r="E37" i="2"/>
  <c r="D37" i="2"/>
  <c r="G36" i="2"/>
  <c r="G35" i="2"/>
  <c r="G34" i="2"/>
  <c r="G33" i="2"/>
  <c r="G32" i="2"/>
  <c r="G31" i="2"/>
  <c r="F30" i="2"/>
  <c r="E30" i="2"/>
  <c r="D30" i="2"/>
  <c r="G28" i="2"/>
  <c r="G27" i="2"/>
  <c r="G26" i="2"/>
  <c r="G25" i="2"/>
  <c r="G24" i="2"/>
  <c r="G23" i="2"/>
  <c r="F22" i="2"/>
  <c r="E22" i="2"/>
  <c r="D22" i="2"/>
  <c r="G21" i="2"/>
  <c r="G20" i="2"/>
  <c r="G19" i="2"/>
  <c r="G18" i="2"/>
  <c r="F17" i="2"/>
  <c r="E17" i="2"/>
  <c r="D17" i="2"/>
  <c r="F5" i="2"/>
  <c r="E5" i="2"/>
  <c r="D5" i="2"/>
  <c r="G16" i="2"/>
  <c r="G15" i="2"/>
  <c r="G14" i="2"/>
  <c r="G13" i="2"/>
  <c r="G12" i="2"/>
  <c r="G11" i="2"/>
  <c r="G10" i="2"/>
  <c r="G9" i="2"/>
  <c r="G8" i="2"/>
  <c r="G7" i="2"/>
  <c r="G6" i="2"/>
  <c r="C15" i="1" l="1"/>
  <c r="G49" i="2"/>
  <c r="G30" i="2"/>
  <c r="G70" i="2"/>
  <c r="G17" i="2"/>
  <c r="K52" i="3"/>
  <c r="K59" i="3" s="1"/>
  <c r="L7" i="3"/>
  <c r="L48" i="3" s="1"/>
  <c r="L60" i="3" s="1"/>
  <c r="O58" i="2"/>
  <c r="O71" i="2" s="1"/>
  <c r="D58" i="2"/>
  <c r="D71" i="2" s="1"/>
  <c r="G5" i="2"/>
  <c r="E58" i="2"/>
  <c r="E71" i="2" s="1"/>
  <c r="G22" i="2"/>
  <c r="G37" i="2"/>
  <c r="J52" i="3" l="1"/>
  <c r="J59" i="3" s="1"/>
  <c r="J24" i="3"/>
  <c r="J8" i="3"/>
  <c r="K7" i="3" s="1"/>
  <c r="K48" i="3" s="1"/>
  <c r="K60" i="3" s="1"/>
  <c r="J11" i="3"/>
  <c r="N70" i="2"/>
  <c r="N54" i="2"/>
  <c r="N49" i="2"/>
  <c r="N37" i="2"/>
  <c r="N30" i="2"/>
  <c r="N22" i="2"/>
  <c r="N17" i="2"/>
  <c r="N5" i="2"/>
  <c r="N58" i="2" l="1"/>
  <c r="N71" i="2" s="1"/>
  <c r="M70" i="2"/>
  <c r="M54" i="2"/>
  <c r="M49" i="2"/>
  <c r="M37" i="2"/>
  <c r="M30" i="2"/>
  <c r="M27" i="2"/>
  <c r="M22" i="2" s="1"/>
  <c r="M17" i="2"/>
  <c r="M5" i="2"/>
  <c r="P57" i="3"/>
  <c r="I38" i="3"/>
  <c r="I24" i="3"/>
  <c r="P24" i="3" s="1"/>
  <c r="I11" i="3"/>
  <c r="P11" i="3" s="1"/>
  <c r="I9" i="3"/>
  <c r="I8" i="3"/>
  <c r="J7" i="3" s="1"/>
  <c r="J48" i="3" s="1"/>
  <c r="J60" i="3" s="1"/>
  <c r="I52" i="3" l="1"/>
  <c r="I59" i="3" s="1"/>
  <c r="M58" i="2"/>
  <c r="M71" i="2" s="1"/>
  <c r="H56" i="3"/>
  <c r="H55" i="3"/>
  <c r="H54" i="3"/>
  <c r="H53" i="3"/>
  <c r="H47" i="3"/>
  <c r="H46" i="3"/>
  <c r="H40" i="3"/>
  <c r="H39" i="3"/>
  <c r="H38" i="3"/>
  <c r="H37" i="3"/>
  <c r="H36" i="3"/>
  <c r="H25" i="3"/>
  <c r="H22" i="3"/>
  <c r="H18" i="3"/>
  <c r="H17" i="3"/>
  <c r="H14" i="3"/>
  <c r="H13" i="3"/>
  <c r="H12" i="3"/>
  <c r="H10" i="3"/>
  <c r="H9" i="3"/>
  <c r="I7" i="3" s="1"/>
  <c r="I48" i="3" s="1"/>
  <c r="H8" i="3"/>
  <c r="P58" i="3"/>
  <c r="P51" i="3"/>
  <c r="P50" i="3"/>
  <c r="P49" i="3"/>
  <c r="G56" i="3"/>
  <c r="G55" i="3"/>
  <c r="G54" i="3"/>
  <c r="G53" i="3"/>
  <c r="G39" i="3"/>
  <c r="G22" i="3"/>
  <c r="G15" i="3"/>
  <c r="G14" i="3"/>
  <c r="G13" i="3"/>
  <c r="G9" i="3"/>
  <c r="G47" i="3"/>
  <c r="G36" i="3"/>
  <c r="G40" i="3"/>
  <c r="G25" i="3"/>
  <c r="G46" i="3"/>
  <c r="G17" i="3"/>
  <c r="G10" i="3"/>
  <c r="G38" i="3"/>
  <c r="G37" i="3"/>
  <c r="G18" i="3"/>
  <c r="G8" i="3"/>
  <c r="G12" i="3"/>
  <c r="F40" i="3"/>
  <c r="F56" i="3"/>
  <c r="F55" i="3"/>
  <c r="F54" i="3"/>
  <c r="F53" i="3"/>
  <c r="F46" i="3"/>
  <c r="F39" i="3"/>
  <c r="F38" i="3"/>
  <c r="F37" i="3"/>
  <c r="F36" i="3"/>
  <c r="F25" i="3"/>
  <c r="F22" i="3"/>
  <c r="F18" i="3"/>
  <c r="F17" i="3"/>
  <c r="F14" i="3"/>
  <c r="F12" i="3"/>
  <c r="F13" i="3"/>
  <c r="F10" i="3"/>
  <c r="F9" i="3"/>
  <c r="F8" i="3"/>
  <c r="E56" i="3"/>
  <c r="E55" i="3"/>
  <c r="E54" i="3"/>
  <c r="E53" i="3"/>
  <c r="E47" i="3"/>
  <c r="E46" i="3"/>
  <c r="E40" i="3"/>
  <c r="E38" i="3"/>
  <c r="E37" i="3"/>
  <c r="E36" i="3"/>
  <c r="E25" i="3"/>
  <c r="E22" i="3"/>
  <c r="E18" i="3"/>
  <c r="E17" i="3"/>
  <c r="E15" i="3"/>
  <c r="E14" i="3"/>
  <c r="E13" i="3"/>
  <c r="E12" i="3"/>
  <c r="E10" i="3"/>
  <c r="E9" i="3"/>
  <c r="E8" i="3"/>
  <c r="D56" i="3"/>
  <c r="D55" i="3"/>
  <c r="D54" i="3"/>
  <c r="D53" i="3"/>
  <c r="C7" i="3"/>
  <c r="D22" i="3"/>
  <c r="P22" i="3" s="1"/>
  <c r="D47" i="3"/>
  <c r="D46" i="3"/>
  <c r="D40" i="3"/>
  <c r="D39" i="3"/>
  <c r="D38" i="3"/>
  <c r="P38" i="3" s="1"/>
  <c r="D37" i="3"/>
  <c r="D36" i="3"/>
  <c r="D25" i="3"/>
  <c r="P25" i="3" s="1"/>
  <c r="D18" i="3"/>
  <c r="D17" i="3"/>
  <c r="D15" i="3"/>
  <c r="D14" i="3"/>
  <c r="D13" i="3"/>
  <c r="D12" i="3"/>
  <c r="P13" i="3" l="1"/>
  <c r="P36" i="3"/>
  <c r="P12" i="3"/>
  <c r="P37" i="3"/>
  <c r="P53" i="3"/>
  <c r="P14" i="3"/>
  <c r="P55" i="3"/>
  <c r="P15" i="3"/>
  <c r="P40" i="3"/>
  <c r="P56" i="3"/>
  <c r="P54" i="3"/>
  <c r="P39" i="3"/>
  <c r="P17" i="3"/>
  <c r="P46" i="3"/>
  <c r="P8" i="3"/>
  <c r="P18" i="3"/>
  <c r="P47" i="3"/>
  <c r="I60" i="3"/>
  <c r="H7" i="3"/>
  <c r="G7" i="3"/>
  <c r="F7" i="3"/>
  <c r="E7" i="3"/>
  <c r="P52" i="3" l="1"/>
  <c r="D10" i="3"/>
  <c r="P10" i="3" s="1"/>
  <c r="D9" i="3"/>
  <c r="P9" i="3" s="1"/>
  <c r="H52" i="3"/>
  <c r="G52" i="3"/>
  <c r="G59" i="3" s="1"/>
  <c r="F52" i="3"/>
  <c r="F59" i="3" s="1"/>
  <c r="E52" i="3"/>
  <c r="E59" i="3" s="1"/>
  <c r="D52" i="3"/>
  <c r="C52" i="3"/>
  <c r="H48" i="3"/>
  <c r="G48" i="3"/>
  <c r="F48" i="3"/>
  <c r="E48" i="3"/>
  <c r="D5" i="3"/>
  <c r="C5" i="3"/>
  <c r="L27" i="2"/>
  <c r="L22" i="2" s="1"/>
  <c r="K27" i="2"/>
  <c r="L70" i="2"/>
  <c r="L54" i="2"/>
  <c r="K54" i="2"/>
  <c r="L49" i="2"/>
  <c r="K49" i="2"/>
  <c r="L37" i="2"/>
  <c r="K37" i="2"/>
  <c r="L30" i="2"/>
  <c r="K30" i="2"/>
  <c r="J30" i="2"/>
  <c r="I30" i="2"/>
  <c r="L17" i="2"/>
  <c r="K17" i="2"/>
  <c r="J17" i="2"/>
  <c r="L5" i="2"/>
  <c r="K5" i="2"/>
  <c r="T27" i="2" l="1"/>
  <c r="P7" i="3"/>
  <c r="D59" i="3"/>
  <c r="L58" i="2"/>
  <c r="L71" i="2" s="1"/>
  <c r="K22" i="2"/>
  <c r="K58" i="2" s="1"/>
  <c r="C59" i="3"/>
  <c r="C48" i="3"/>
  <c r="H59" i="3"/>
  <c r="H60" i="3" s="1"/>
  <c r="G60" i="3"/>
  <c r="F60" i="3"/>
  <c r="E60" i="3"/>
  <c r="D7" i="3"/>
  <c r="T5" i="2"/>
  <c r="P48" i="3" l="1"/>
  <c r="P59" i="3"/>
  <c r="C60" i="3"/>
  <c r="D48" i="3"/>
  <c r="D60" i="3" s="1"/>
  <c r="K70" i="2"/>
  <c r="K71" i="2" s="1"/>
  <c r="P60" i="3" l="1"/>
  <c r="H70" i="2" l="1"/>
  <c r="H49" i="2"/>
  <c r="H5" i="2"/>
  <c r="J54" i="2"/>
  <c r="I54" i="2"/>
  <c r="H54" i="2"/>
  <c r="F54" i="2"/>
  <c r="F58" i="2" s="1"/>
  <c r="F71" i="2" s="1"/>
  <c r="J70" i="2" l="1"/>
  <c r="J49" i="2" l="1"/>
  <c r="J37" i="2"/>
  <c r="J22" i="2"/>
  <c r="J5" i="2"/>
  <c r="J58" i="2" l="1"/>
  <c r="J71" i="2" s="1"/>
  <c r="H28" i="2"/>
  <c r="I28" i="2"/>
  <c r="I22" i="2" s="1"/>
  <c r="I49" i="2"/>
  <c r="I37" i="2"/>
  <c r="H37" i="2"/>
  <c r="H30" i="2"/>
  <c r="I17" i="2"/>
  <c r="H17" i="2"/>
  <c r="I5" i="2"/>
  <c r="I70" i="2"/>
  <c r="T28" i="2" l="1"/>
  <c r="T22" i="2"/>
  <c r="T58" i="2" s="1"/>
  <c r="T71" i="2" s="1"/>
  <c r="H22" i="2"/>
  <c r="H58" i="2" s="1"/>
  <c r="H71" i="2" s="1"/>
  <c r="I58" i="2"/>
  <c r="I71" i="2" s="1"/>
  <c r="C70" i="2" l="1"/>
  <c r="C54" i="2"/>
  <c r="G54" i="2" s="1"/>
  <c r="G58" i="2" s="1"/>
  <c r="G71" i="2" s="1"/>
  <c r="C49" i="2"/>
  <c r="C37" i="2"/>
  <c r="C30" i="2"/>
  <c r="C22" i="2"/>
  <c r="C17" i="2"/>
  <c r="C5" i="2"/>
  <c r="B9" i="1"/>
  <c r="C58" i="2" l="1"/>
  <c r="C71" i="2" s="1"/>
  <c r="B15" i="1"/>
  <c r="B31" i="1" l="1"/>
</calcChain>
</file>

<file path=xl/sharedStrings.xml><?xml version="1.0" encoding="utf-8"?>
<sst xmlns="http://schemas.openxmlformats.org/spreadsheetml/2006/main" count="671" uniqueCount="261">
  <si>
    <t>INSPECCION DE TRANSITO Y TRANSPORTE DE BARRANCABERMEJA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</si>
  <si>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</si>
  <si>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</si>
  <si>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</si>
  <si>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</si>
  <si>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</si>
  <si>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</si>
  <si>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</si>
  <si>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</si>
  <si>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</si>
  <si>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</si>
  <si>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</si>
  <si>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CULTURA DE LA MOVILIDAD SEGURA</t>
  </si>
  <si>
    <t>PROYECTO PRESUPUESTO DE INGRESOS VIGENCIA 2.017</t>
  </si>
  <si>
    <t>PROYECTO PRESUPUESTO DE GASTOS VIGENCIA 2.017</t>
  </si>
  <si>
    <t>SISTEMA INTEGRAL DE CONTROL DE TRAFICO</t>
  </si>
  <si>
    <t>EQUIPAMENTO URBANO Y LOGISTICO PARA EL TRANSPORTE</t>
  </si>
  <si>
    <t>FORTALECIMIENTO INSTITUCIONAL DE LA ITTB</t>
  </si>
  <si>
    <t>FUENTE: RECURSOS PROPIOS</t>
  </si>
  <si>
    <t>TOTAL PRESUPUESTO VIGENCIA 2.017</t>
  </si>
  <si>
    <t>PLAN DE MOVILIDAD URBANA SOSTENIBLE (PMUS)</t>
  </si>
  <si>
    <t>INVERSION: PROGRAMA MOVILIDAD URBANA</t>
  </si>
  <si>
    <t>CODIGO PRESUPUESTAL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</si>
  <si>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</si>
  <si>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</si>
  <si>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</si>
  <si>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</si>
  <si>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</si>
  <si>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</si>
  <si>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</si>
  <si>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</si>
  <si>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</si>
  <si>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</si>
  <si>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</si>
  <si>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</si>
  <si>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</si>
  <si>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</si>
  <si>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</si>
  <si>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</si>
  <si>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</si>
  <si>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</si>
  <si>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</si>
  <si>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</si>
  <si>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</si>
  <si>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</si>
  <si>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</si>
  <si>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</si>
  <si>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</si>
  <si>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</si>
  <si>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</si>
  <si>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</si>
  <si>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</si>
  <si>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</si>
  <si>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</si>
  <si>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</si>
  <si>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</si>
  <si>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</si>
  <si>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</si>
  <si>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</si>
  <si>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</si>
  <si>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</si>
  <si>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</si>
  <si>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</si>
  <si>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</si>
  <si>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</si>
  <si>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</si>
  <si>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</si>
  <si>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</si>
  <si>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</si>
  <si>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</si>
  <si>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</si>
  <si>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</si>
  <si>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</si>
  <si>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</si>
  <si>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</si>
  <si>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</si>
  <si>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</si>
  <si>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</si>
  <si>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</si>
  <si>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</si>
  <si>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</si>
  <si>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</si>
  <si>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PLAN DE MOVILIDAD URBANA SOSTENIBLE</t>
  </si>
  <si>
    <t>TOTAL GASTOS DE INVERSION</t>
  </si>
  <si>
    <t>TOTAL PRESUPUESTO 2017</t>
  </si>
  <si>
    <t>PPTO 2017</t>
  </si>
  <si>
    <t>PLAN DE MANEJO AMBIENTAL</t>
  </si>
  <si>
    <t>CODIGO PPTAL</t>
  </si>
  <si>
    <t>DETALLE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</si>
  <si>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</si>
  <si>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</si>
  <si>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</si>
  <si>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</si>
  <si>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</si>
  <si>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</si>
  <si>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</si>
  <si>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PERMISOS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</si>
  <si>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</si>
  <si>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</si>
  <si>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</si>
  <si>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</si>
  <si>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</si>
  <si>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</si>
  <si>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</si>
  <si>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</si>
  <si>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</si>
  <si>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</si>
  <si>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</si>
  <si>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</si>
  <si>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</si>
  <si>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</si>
  <si>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</si>
  <si>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</si>
  <si>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</si>
  <si>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</si>
  <si>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</si>
  <si>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</si>
  <si>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</si>
  <si>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</si>
  <si>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</si>
  <si>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</si>
  <si>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</si>
  <si>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</si>
  <si>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</si>
  <si>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</si>
  <si>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</si>
  <si>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</si>
  <si>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</si>
  <si>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</si>
  <si>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</si>
  <si>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</si>
  <si>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</si>
  <si>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</si>
  <si>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</si>
  <si>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</si>
  <si>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</si>
  <si>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</si>
  <si>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</si>
  <si>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</si>
  <si>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</si>
  <si>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</si>
  <si>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</si>
  <si>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</si>
  <si>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</si>
  <si>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</si>
  <si>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</si>
  <si>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</si>
  <si>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</si>
  <si>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</si>
  <si>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</si>
  <si>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</si>
  <si>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</si>
  <si>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</si>
  <si>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</si>
  <si>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</si>
  <si>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</si>
  <si>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</si>
  <si>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</si>
  <si>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</si>
  <si>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</si>
  <si>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</si>
  <si>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</si>
  <si>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</si>
  <si>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</si>
  <si>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</si>
  <si>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</si>
  <si>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F.U.N.</t>
  </si>
  <si>
    <t>REGISTROS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</si>
  <si>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</si>
  <si>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</si>
  <si>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</si>
  <si>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</si>
  <si>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</si>
  <si>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</si>
  <si>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</si>
  <si>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</si>
  <si>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2.3.4</t>
  </si>
  <si>
    <t>Recuperacion cartera porte de placas</t>
  </si>
  <si>
    <t>Recuperacion cartera Sistematizacion y Facturacion</t>
  </si>
  <si>
    <t>TOTAL INGRESOS CAPITAL DE LA I.T.T.B</t>
  </si>
  <si>
    <t xml:space="preserve"> PPTO 2017</t>
  </si>
  <si>
    <t>1.2.36</t>
  </si>
  <si>
    <t>1.2.37</t>
  </si>
  <si>
    <t>TOTAL PRESUPUESTO INGRESOS 2017</t>
  </si>
  <si>
    <t>ADICION</t>
  </si>
  <si>
    <t>COMPROMETIDO ENERO</t>
  </si>
  <si>
    <t>COMPROMETIDO FEBRERO</t>
  </si>
  <si>
    <t xml:space="preserve"> PRESUPUESTO 
AJUSTADO 2017</t>
  </si>
  <si>
    <t>COMPROMETIDO MARZO</t>
  </si>
  <si>
    <t>COMPROMETIDO ABRIL</t>
  </si>
  <si>
    <t>COMPROMETIDO MAYO</t>
  </si>
  <si>
    <t>NA</t>
  </si>
  <si>
    <t>INGRESOS NO DETERMINADOS EN EL SISTEMA</t>
  </si>
  <si>
    <t>COMPROMETIDO JUNIO</t>
  </si>
  <si>
    <t>COMPROMETIDO JULIO</t>
  </si>
  <si>
    <t>RECAUDO JULIO</t>
  </si>
  <si>
    <t>TRASLADOS PRESUPUETALES</t>
  </si>
  <si>
    <t>CREDITOS</t>
  </si>
  <si>
    <t>CONTRACREDITOS</t>
  </si>
  <si>
    <t>COMPROMETIDO AGOSTO</t>
  </si>
  <si>
    <t>PERSONAL TEMPORAL Y SUPERNUMERARIO</t>
  </si>
  <si>
    <t>RECAUDO AGOSTO</t>
  </si>
  <si>
    <t>COMPROMETIDO SEPTIEMBRE</t>
  </si>
  <si>
    <t>RECAUDO SEPTIEMBRE</t>
  </si>
  <si>
    <t>RECAUDO ENERO 2017</t>
  </si>
  <si>
    <t>ENERO 2017
COTES</t>
  </si>
  <si>
    <t>RECAUDO FEBRERO 2017</t>
  </si>
  <si>
    <t>FEBRERO 2017
COTES</t>
  </si>
  <si>
    <t>RECAUDO MARZO 2017</t>
  </si>
  <si>
    <t>MARZO 2017
COTES</t>
  </si>
  <si>
    <t>RECAUDO ABRIL 2017</t>
  </si>
  <si>
    <t>ABRIL 2017
COTES</t>
  </si>
  <si>
    <t>RECAUDO MAYO 2017</t>
  </si>
  <si>
    <t>MAYO 2017
COTES</t>
  </si>
  <si>
    <t>RECAUDO JUNIO 2017</t>
  </si>
  <si>
    <t>JUNIO 2017
COTES</t>
  </si>
  <si>
    <t>RECAUDO JULIO 2017</t>
  </si>
  <si>
    <t>JULIO 2017
COTES</t>
  </si>
  <si>
    <t>RECAUDO AGOSTO 2017</t>
  </si>
  <si>
    <t>AGOSTO 2017
COTES</t>
  </si>
  <si>
    <t>RECAUDO SEPTIEMBRE 2017</t>
  </si>
  <si>
    <t>SEPTIEMBRE 2017 COTES</t>
  </si>
  <si>
    <t>RECAUDO ENERO A SEPTIEMBRE 2017</t>
  </si>
  <si>
    <t>RECAUDO ENERO A SEPTIEMBRE COTES</t>
  </si>
  <si>
    <t>COMPROMETIDO OCTUBRE</t>
  </si>
  <si>
    <t>RECAUDO OCTUBRE</t>
  </si>
  <si>
    <t>RECAUDO    JUNIO</t>
  </si>
  <si>
    <t>RECAUDO     MAYO</t>
  </si>
  <si>
    <t>RECAUDO    ABRIL</t>
  </si>
  <si>
    <t>RECAUDO     MARZO</t>
  </si>
  <si>
    <t>RECUADO     FEBRERO</t>
  </si>
  <si>
    <t>RECAUDO     ENERO</t>
  </si>
  <si>
    <t>RECAUDO NOVIEMBRE</t>
  </si>
  <si>
    <t>COMPROMETIDO NOVIEMBRE</t>
  </si>
  <si>
    <t>COMPROMETIDO DICIEMBRE</t>
  </si>
  <si>
    <t>COMPROMETIDO ENERO A DICIEMBRE</t>
  </si>
  <si>
    <t>RECAUDO DICIEMBRE</t>
  </si>
  <si>
    <t>RECAUDO ENERO A DICIEMBRE</t>
  </si>
  <si>
    <r>
      <t xml:space="preserve">JOAQUIN HERAZO MEZA
</t>
    </r>
    <r>
      <rPr>
        <sz val="11"/>
        <color theme="1"/>
        <rFont val="Calibri"/>
        <family val="2"/>
        <scheme val="minor"/>
      </rPr>
      <t>Prof. Esp Diviciòn Financiera</t>
    </r>
  </si>
  <si>
    <t>COMPROMETIDO ENERO A SEPTIEMBRE</t>
  </si>
  <si>
    <t>RECAUDO ENERO A SEPTIEMBRE</t>
  </si>
  <si>
    <t xml:space="preserve"> </t>
  </si>
  <si>
    <t>CUADRO DETALLLADO DE MODIFICACIONES AL PRESUPUESTO 2017</t>
  </si>
  <si>
    <t>FECHA</t>
  </si>
  <si>
    <t>ACTO ADMINISTRATIVO</t>
  </si>
  <si>
    <t xml:space="preserve">CREDITO </t>
  </si>
  <si>
    <t>APLAZAMIENTO</t>
  </si>
  <si>
    <t>REDUCCIONES</t>
  </si>
  <si>
    <t>JULIO 12-17</t>
  </si>
  <si>
    <t>RESOLUCION No. 2235-17</t>
  </si>
  <si>
    <t>CONTRA       CREDITO</t>
  </si>
  <si>
    <t>OCTUBRE 09-17</t>
  </si>
  <si>
    <t>RESOLUCION No. 3206-17</t>
  </si>
  <si>
    <t>RESOLUCION No.3670-17</t>
  </si>
  <si>
    <t>RESOLUCION No. 3888-17</t>
  </si>
  <si>
    <t>DICIEMBRE 29-17</t>
  </si>
  <si>
    <t>DICIEMBRE 04-17</t>
  </si>
  <si>
    <t>MATERIALES Y SUMINISTROS Y PASIVO DE VIGENCIAS ANTERIORES</t>
  </si>
  <si>
    <t>SISTEMA INTEGRAL DE CONTROL DE TRAFICO Y PASIVO DE VIGENCIAS ANTERIORES</t>
  </si>
  <si>
    <t>EJECUCION DE INGRESOS VIGENCIA 2017</t>
  </si>
  <si>
    <t xml:space="preserve">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</si>
</sst>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0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haroni"/>
      <charset val="177"/>
    </font>
    <font>
      <b/>
      <sz val="14"/>
      <color theme="1"/>
      <name val="Arial Black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name val="Bernard MT Condensed"/>
      <family val="1"/>
    </font>
    <font>
      <sz val="8"/>
      <name val="Aharoni"/>
      <charset val="177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haroni"/>
      <charset val="177"/>
    </font>
    <font>
      <sz val="9"/>
      <name val="Arial"/>
      <family val="2"/>
    </font>
    <font>
      <sz val="9"/>
      <color theme="1"/>
      <name val="Arial Black"/>
      <family val="2"/>
    </font>
    <font>
      <b/>
      <sz val="10"/>
      <color theme="1"/>
      <name val="Arial"/>
      <family val="2"/>
    </font>
    <font>
      <b/>
      <sz val="16"/>
      <color theme="1"/>
      <name val="Arial Black"/>
      <family val="2"/>
    </font>
    <font>
      <sz val="12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Font="1" applyBorder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/>
    <xf numFmtId="0" fontId="8" fillId="0" borderId="1" xfId="0" applyFont="1" applyBorder="1"/>
    <xf numFmtId="164" fontId="7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43" fontId="0" fillId="0" borderId="1" xfId="1" applyFont="1" applyBorder="1"/>
    <xf numFmtId="164" fontId="9" fillId="0" borderId="1" xfId="0" applyNumberFormat="1" applyFont="1" applyBorder="1"/>
    <xf numFmtId="0" fontId="11" fillId="0" borderId="1" xfId="0" applyFont="1" applyBorder="1"/>
    <xf numFmtId="164" fontId="12" fillId="0" borderId="1" xfId="0" applyNumberFormat="1" applyFont="1" applyBorder="1"/>
    <xf numFmtId="164" fontId="0" fillId="0" borderId="0" xfId="0" applyNumberFormat="1"/>
    <xf numFmtId="43" fontId="0" fillId="0" borderId="0" xfId="0" applyNumberFormat="1"/>
    <xf numFmtId="4" fontId="0" fillId="2" borderId="1" xfId="0" applyNumberFormat="1" applyFill="1" applyBorder="1"/>
    <xf numFmtId="43" fontId="7" fillId="0" borderId="1" xfId="1" applyFont="1" applyBorder="1"/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5" fillId="0" borderId="0" xfId="0" applyFont="1"/>
    <xf numFmtId="0" fontId="15" fillId="3" borderId="1" xfId="0" applyFont="1" applyFill="1" applyBorder="1"/>
    <xf numFmtId="0" fontId="14" fillId="3" borderId="1" xfId="0" applyFont="1" applyFill="1" applyBorder="1" applyAlignment="1">
      <alignment horizontal="left"/>
    </xf>
    <xf numFmtId="43" fontId="15" fillId="0" borderId="0" xfId="0" applyNumberFormat="1" applyFont="1"/>
    <xf numFmtId="164" fontId="15" fillId="0" borderId="0" xfId="1" applyNumberFormat="1" applyFont="1"/>
    <xf numFmtId="4" fontId="15" fillId="0" borderId="0" xfId="0" applyNumberFormat="1" applyFont="1"/>
    <xf numFmtId="164" fontId="15" fillId="0" borderId="0" xfId="0" applyNumberFormat="1" applyFont="1"/>
    <xf numFmtId="164" fontId="16" fillId="0" borderId="1" xfId="1" applyNumberFormat="1" applyFont="1" applyBorder="1"/>
    <xf numFmtId="164" fontId="15" fillId="0" borderId="1" xfId="1" applyNumberFormat="1" applyFont="1" applyBorder="1"/>
    <xf numFmtId="164" fontId="16" fillId="4" borderId="1" xfId="1" applyNumberFormat="1" applyFont="1" applyFill="1" applyBorder="1"/>
    <xf numFmtId="164" fontId="18" fillId="5" borderId="1" xfId="1" applyNumberFormat="1" applyFont="1" applyFill="1" applyBorder="1"/>
    <xf numFmtId="43" fontId="15" fillId="0" borderId="0" xfId="1" applyFont="1"/>
    <xf numFmtId="0" fontId="15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164" fontId="15" fillId="7" borderId="1" xfId="1" applyNumberFormat="1" applyFont="1" applyFill="1" applyBorder="1"/>
    <xf numFmtId="164" fontId="15" fillId="0" borderId="1" xfId="1" applyNumberFormat="1" applyFont="1" applyFill="1" applyBorder="1"/>
    <xf numFmtId="43" fontId="0" fillId="0" borderId="0" xfId="1" applyFont="1"/>
    <xf numFmtId="43" fontId="7" fillId="0" borderId="0" xfId="0" applyNumberFormat="1" applyFont="1"/>
    <xf numFmtId="0" fontId="15" fillId="0" borderId="0" xfId="0" applyFont="1" applyAlignment="1">
      <alignment wrapText="1"/>
    </xf>
    <xf numFmtId="43" fontId="15" fillId="0" borderId="0" xfId="1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164" fontId="15" fillId="2" borderId="1" xfId="1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164" fontId="16" fillId="4" borderId="1" xfId="1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164" fontId="18" fillId="5" borderId="1" xfId="1" applyNumberFormat="1" applyFont="1" applyFill="1" applyBorder="1" applyAlignment="1">
      <alignment vertical="center" wrapText="1"/>
    </xf>
    <xf numFmtId="0" fontId="23" fillId="0" borderId="1" xfId="0" applyFont="1" applyBorder="1"/>
    <xf numFmtId="164" fontId="24" fillId="0" borderId="1" xfId="0" applyNumberFormat="1" applyFont="1" applyBorder="1"/>
    <xf numFmtId="164" fontId="23" fillId="0" borderId="1" xfId="0" applyNumberFormat="1" applyFont="1" applyBorder="1"/>
    <xf numFmtId="164" fontId="26" fillId="0" borderId="1" xfId="0" applyNumberFormat="1" applyFont="1" applyBorder="1"/>
    <xf numFmtId="164" fontId="27" fillId="0" borderId="1" xfId="0" applyNumberFormat="1" applyFont="1" applyBorder="1"/>
    <xf numFmtId="164" fontId="28" fillId="5" borderId="1" xfId="1" applyNumberFormat="1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30" fillId="0" borderId="1" xfId="0" applyFont="1" applyBorder="1"/>
    <xf numFmtId="164" fontId="32" fillId="0" borderId="1" xfId="0" applyNumberFormat="1" applyFont="1" applyBorder="1"/>
    <xf numFmtId="164" fontId="27" fillId="2" borderId="1" xfId="0" applyNumberFormat="1" applyFont="1" applyFill="1" applyBorder="1"/>
    <xf numFmtId="4" fontId="27" fillId="2" borderId="1" xfId="0" applyNumberFormat="1" applyFont="1" applyFill="1" applyBorder="1"/>
    <xf numFmtId="43" fontId="27" fillId="0" borderId="1" xfId="1" applyFont="1" applyBorder="1"/>
    <xf numFmtId="43" fontId="32" fillId="0" borderId="1" xfId="1" applyFont="1" applyBorder="1"/>
    <xf numFmtId="0" fontId="33" fillId="0" borderId="1" xfId="0" applyFont="1" applyBorder="1"/>
    <xf numFmtId="4" fontId="34" fillId="2" borderId="1" xfId="0" applyNumberFormat="1" applyFont="1" applyFill="1" applyBorder="1"/>
    <xf numFmtId="0" fontId="25" fillId="0" borderId="0" xfId="0" applyFont="1"/>
    <xf numFmtId="0" fontId="27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0" borderId="1" xfId="0" applyFont="1" applyFill="1" applyBorder="1"/>
    <xf numFmtId="43" fontId="0" fillId="0" borderId="1" xfId="1" applyFont="1" applyFill="1" applyBorder="1"/>
    <xf numFmtId="43" fontId="7" fillId="0" borderId="1" xfId="1" applyFont="1" applyFill="1" applyBorder="1"/>
    <xf numFmtId="43" fontId="6" fillId="0" borderId="1" xfId="1" applyFont="1" applyFill="1" applyBorder="1"/>
    <xf numFmtId="164" fontId="0" fillId="0" borderId="1" xfId="0" applyNumberFormat="1" applyFont="1" applyBorder="1"/>
    <xf numFmtId="43" fontId="6" fillId="0" borderId="1" xfId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14" fillId="11" borderId="2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3" fontId="37" fillId="0" borderId="6" xfId="1" applyFont="1" applyBorder="1" applyAlignment="1">
      <alignment horizontal="center"/>
    </xf>
    <xf numFmtId="43" fontId="36" fillId="0" borderId="2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36" fillId="0" borderId="2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CFF33"/>
      <color rgb="FFFF33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2.%20Febrero%202017\cuadre%20por%20cuentas%20Febre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3.%20Marzo%202017\cuadre%20por%20cuentas%2020170301%20al%20201703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4.%20Abril%202017\cuadre%20por%20cuentas%2020170401%20al%2020170430%20Mayo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5.%20Mayo%202017\cuadre%20por%20cuentas%2020170501%20al%20201705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1.%20Enero%202017\cuadre%20por%20cuentas%2020170101%20al%20201701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6.%20Junio%202017\cuadre%20por%20cuentas%2020170601%20al%2020170630%20UN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7.%20Julio%202017\cuadre%20por%20cuentas%2020170701%20al%202017073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8.%20Agosto\cuadre%20por%20cuentas%2020170801%20al%2020170831%20Viej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9.%20Septiembre\cuadre%20por%20cuentas%2020170901%20al%20201709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201 al "/>
    </sheetNames>
    <sheetDataSet>
      <sheetData sheetId="0" refreshError="1">
        <row r="103">
          <cell r="D103">
            <v>726840</v>
          </cell>
        </row>
        <row r="105">
          <cell r="D105">
            <v>80642</v>
          </cell>
        </row>
        <row r="107">
          <cell r="D107">
            <v>84480991</v>
          </cell>
        </row>
        <row r="110">
          <cell r="D110">
            <v>1114419</v>
          </cell>
        </row>
        <row r="111">
          <cell r="D111">
            <v>41279531</v>
          </cell>
        </row>
        <row r="114">
          <cell r="D114">
            <v>1211410</v>
          </cell>
        </row>
        <row r="116">
          <cell r="D116">
            <v>1378527</v>
          </cell>
        </row>
        <row r="117">
          <cell r="D117">
            <v>7563611</v>
          </cell>
        </row>
        <row r="119">
          <cell r="D119">
            <v>5984824</v>
          </cell>
        </row>
        <row r="126">
          <cell r="D126">
            <v>1674495</v>
          </cell>
        </row>
        <row r="127">
          <cell r="D127">
            <v>330192</v>
          </cell>
        </row>
        <row r="128">
          <cell r="D128">
            <v>11606355</v>
          </cell>
        </row>
        <row r="129">
          <cell r="D129">
            <v>72648514</v>
          </cell>
        </row>
        <row r="130">
          <cell r="D130">
            <v>43016622</v>
          </cell>
        </row>
        <row r="131">
          <cell r="D131">
            <v>58676605</v>
          </cell>
        </row>
        <row r="132">
          <cell r="D132">
            <v>34861389</v>
          </cell>
        </row>
        <row r="134">
          <cell r="D134">
            <v>911160</v>
          </cell>
        </row>
        <row r="136">
          <cell r="D136">
            <v>4791760</v>
          </cell>
        </row>
        <row r="137">
          <cell r="D137">
            <v>16372</v>
          </cell>
        </row>
        <row r="141">
          <cell r="D141">
            <v>8474616</v>
          </cell>
        </row>
        <row r="142">
          <cell r="D142">
            <v>16040634</v>
          </cell>
        </row>
        <row r="144">
          <cell r="D144">
            <v>456257</v>
          </cell>
        </row>
        <row r="148">
          <cell r="D148">
            <v>104650152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301 al "/>
    </sheetNames>
    <sheetDataSet>
      <sheetData sheetId="0" refreshError="1">
        <row r="103">
          <cell r="D103">
            <v>759144</v>
          </cell>
        </row>
        <row r="105">
          <cell r="D105">
            <v>0</v>
          </cell>
        </row>
        <row r="107">
          <cell r="D107">
            <v>91208960</v>
          </cell>
        </row>
        <row r="110">
          <cell r="D110">
            <v>1259782</v>
          </cell>
        </row>
        <row r="111">
          <cell r="D111">
            <v>41958241</v>
          </cell>
        </row>
        <row r="115">
          <cell r="D115">
            <v>1237745</v>
          </cell>
        </row>
        <row r="117">
          <cell r="D117">
            <v>2850703</v>
          </cell>
        </row>
        <row r="118">
          <cell r="D118">
            <v>11198564</v>
          </cell>
        </row>
        <row r="120">
          <cell r="D120">
            <v>7856853</v>
          </cell>
        </row>
        <row r="126">
          <cell r="D126">
            <v>163720</v>
          </cell>
        </row>
        <row r="127">
          <cell r="D127">
            <v>6363081</v>
          </cell>
        </row>
        <row r="128">
          <cell r="D128">
            <v>715416</v>
          </cell>
        </row>
        <row r="129">
          <cell r="D129">
            <v>26530753</v>
          </cell>
        </row>
        <row r="130">
          <cell r="D130">
            <v>98077252</v>
          </cell>
        </row>
        <row r="131">
          <cell r="D131">
            <v>63089237</v>
          </cell>
        </row>
        <row r="132">
          <cell r="D132">
            <v>131515666</v>
          </cell>
        </row>
        <row r="133">
          <cell r="D133">
            <v>79292369</v>
          </cell>
        </row>
        <row r="135">
          <cell r="D135">
            <v>85211</v>
          </cell>
        </row>
        <row r="136">
          <cell r="D136">
            <v>951656</v>
          </cell>
        </row>
        <row r="138">
          <cell r="D138">
            <v>9960400</v>
          </cell>
        </row>
        <row r="143">
          <cell r="D143">
            <v>4924935</v>
          </cell>
        </row>
        <row r="144">
          <cell r="D144">
            <v>17365464</v>
          </cell>
        </row>
        <row r="146">
          <cell r="D146">
            <v>1286011</v>
          </cell>
        </row>
        <row r="150">
          <cell r="D150">
            <v>103976015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401 al "/>
    </sheetNames>
    <sheetDataSet>
      <sheetData sheetId="0" refreshError="1">
        <row r="103">
          <cell r="D103">
            <v>662232</v>
          </cell>
        </row>
        <row r="105">
          <cell r="D105">
            <v>80642</v>
          </cell>
        </row>
        <row r="107">
          <cell r="D107">
            <v>86613097</v>
          </cell>
        </row>
        <row r="110">
          <cell r="D110">
            <v>839904</v>
          </cell>
        </row>
        <row r="111">
          <cell r="D111">
            <v>28002071</v>
          </cell>
        </row>
        <row r="115">
          <cell r="D115">
            <v>1079735</v>
          </cell>
        </row>
        <row r="117">
          <cell r="D117">
            <v>1363543</v>
          </cell>
        </row>
        <row r="118">
          <cell r="D118">
            <v>8175667</v>
          </cell>
        </row>
        <row r="120">
          <cell r="D120">
            <v>6285424</v>
          </cell>
        </row>
        <row r="127">
          <cell r="D127">
            <v>4800219</v>
          </cell>
        </row>
        <row r="128">
          <cell r="D128">
            <v>348536</v>
          </cell>
        </row>
        <row r="129">
          <cell r="D129">
            <v>27440896</v>
          </cell>
        </row>
        <row r="130">
          <cell r="D130">
            <v>68372059</v>
          </cell>
        </row>
        <row r="131">
          <cell r="D131">
            <v>39472332</v>
          </cell>
        </row>
        <row r="132">
          <cell r="D132">
            <v>129772549</v>
          </cell>
        </row>
        <row r="133">
          <cell r="D133">
            <v>75945247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9852720</v>
          </cell>
        </row>
        <row r="139">
          <cell r="D139">
            <v>16372</v>
          </cell>
        </row>
        <row r="143">
          <cell r="D143">
            <v>1228482</v>
          </cell>
        </row>
        <row r="144">
          <cell r="D144">
            <v>14613894</v>
          </cell>
        </row>
        <row r="146">
          <cell r="D146">
            <v>790527</v>
          </cell>
        </row>
        <row r="151">
          <cell r="D151">
            <v>77347551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501 al "/>
    </sheetNames>
    <sheetDataSet>
      <sheetData sheetId="0" refreshError="1">
        <row r="103">
          <cell r="D103">
            <v>662232</v>
          </cell>
        </row>
        <row r="107">
          <cell r="D107">
            <v>78949809</v>
          </cell>
        </row>
        <row r="110">
          <cell r="D110">
            <v>1001424</v>
          </cell>
        </row>
        <row r="111">
          <cell r="D111">
            <v>32378934</v>
          </cell>
        </row>
        <row r="115">
          <cell r="D115">
            <v>1079735</v>
          </cell>
        </row>
        <row r="117">
          <cell r="D117">
            <v>1947920</v>
          </cell>
        </row>
        <row r="118">
          <cell r="D118">
            <v>6883478</v>
          </cell>
        </row>
        <row r="120">
          <cell r="D120">
            <v>5940423</v>
          </cell>
        </row>
        <row r="127">
          <cell r="D127">
            <v>1748917</v>
          </cell>
        </row>
        <row r="128">
          <cell r="D128">
            <v>495288</v>
          </cell>
        </row>
        <row r="129">
          <cell r="D129">
            <v>28363594</v>
          </cell>
        </row>
        <row r="130">
          <cell r="D130">
            <v>68428433</v>
          </cell>
        </row>
        <row r="131">
          <cell r="D131">
            <v>40400488</v>
          </cell>
        </row>
        <row r="132">
          <cell r="D132">
            <v>102501266</v>
          </cell>
        </row>
        <row r="133">
          <cell r="D133">
            <v>68968892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5545520</v>
          </cell>
        </row>
        <row r="139">
          <cell r="D139">
            <v>16372</v>
          </cell>
        </row>
        <row r="143">
          <cell r="D143">
            <v>4234617</v>
          </cell>
        </row>
        <row r="144">
          <cell r="D144">
            <v>19138698</v>
          </cell>
        </row>
        <row r="146">
          <cell r="D146">
            <v>1887193</v>
          </cell>
        </row>
        <row r="151">
          <cell r="D151">
            <v>89063264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101 al "/>
    </sheetNames>
    <sheetDataSet>
      <sheetData sheetId="0" refreshError="1">
        <row r="109">
          <cell r="D109">
            <v>923412</v>
          </cell>
        </row>
        <row r="111">
          <cell r="D111">
            <v>76257</v>
          </cell>
        </row>
        <row r="113">
          <cell r="D113">
            <v>78685180</v>
          </cell>
        </row>
        <row r="116">
          <cell r="D116">
            <v>1143372</v>
          </cell>
        </row>
        <row r="117">
          <cell r="D117">
            <v>34191551</v>
          </cell>
        </row>
        <row r="121">
          <cell r="D121">
            <v>1505636</v>
          </cell>
        </row>
        <row r="123">
          <cell r="D123">
            <v>1998832</v>
          </cell>
        </row>
        <row r="124">
          <cell r="D124">
            <v>5136620</v>
          </cell>
        </row>
        <row r="126">
          <cell r="D126">
            <v>4750549</v>
          </cell>
        </row>
        <row r="132">
          <cell r="D132">
            <v>158380</v>
          </cell>
        </row>
        <row r="133">
          <cell r="D133">
            <v>2189046</v>
          </cell>
        </row>
        <row r="134">
          <cell r="D134">
            <v>456007</v>
          </cell>
        </row>
        <row r="135">
          <cell r="D135">
            <v>8922448</v>
          </cell>
        </row>
        <row r="136">
          <cell r="D136">
            <v>65545371</v>
          </cell>
        </row>
        <row r="137">
          <cell r="D137">
            <v>43328211</v>
          </cell>
        </row>
        <row r="138">
          <cell r="D138">
            <v>45430454</v>
          </cell>
        </row>
        <row r="139">
          <cell r="D139">
            <v>27327964</v>
          </cell>
        </row>
        <row r="141">
          <cell r="D141">
            <v>21562</v>
          </cell>
        </row>
        <row r="142">
          <cell r="D142">
            <v>1157628</v>
          </cell>
        </row>
        <row r="144">
          <cell r="D144">
            <v>3404112</v>
          </cell>
        </row>
        <row r="145">
          <cell r="D145">
            <v>0</v>
          </cell>
        </row>
        <row r="149">
          <cell r="D149">
            <v>3874514</v>
          </cell>
        </row>
        <row r="150">
          <cell r="D150">
            <v>16918630</v>
          </cell>
        </row>
        <row r="152">
          <cell r="D152">
            <v>229348</v>
          </cell>
        </row>
        <row r="155">
          <cell r="D155">
            <v>80717893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601 al "/>
    </sheetNames>
    <sheetDataSet>
      <sheetData sheetId="0" refreshError="1">
        <row r="103">
          <cell r="D103">
            <v>791448</v>
          </cell>
        </row>
        <row r="104">
          <cell r="D104">
            <v>4571694</v>
          </cell>
        </row>
        <row r="105">
          <cell r="D105">
            <v>0</v>
          </cell>
        </row>
        <row r="107">
          <cell r="D107">
            <v>52797229</v>
          </cell>
        </row>
        <row r="109">
          <cell r="D109">
            <v>52948</v>
          </cell>
        </row>
        <row r="110">
          <cell r="D110">
            <v>1276008</v>
          </cell>
        </row>
        <row r="111">
          <cell r="D111">
            <v>28047477</v>
          </cell>
        </row>
        <row r="112">
          <cell r="D112">
            <v>219456</v>
          </cell>
        </row>
        <row r="115">
          <cell r="D115">
            <v>1290415</v>
          </cell>
        </row>
        <row r="116">
          <cell r="D116">
            <v>2458</v>
          </cell>
        </row>
        <row r="117">
          <cell r="D117">
            <v>1510186</v>
          </cell>
        </row>
        <row r="118">
          <cell r="D118">
            <v>5061103</v>
          </cell>
        </row>
        <row r="120">
          <cell r="D120">
            <v>4342230</v>
          </cell>
        </row>
        <row r="121">
          <cell r="D121">
            <v>474033</v>
          </cell>
        </row>
        <row r="126">
          <cell r="D126">
            <v>130976</v>
          </cell>
        </row>
        <row r="127">
          <cell r="D127">
            <v>1153541</v>
          </cell>
        </row>
        <row r="128">
          <cell r="D128">
            <v>421912</v>
          </cell>
        </row>
        <row r="129">
          <cell r="D129">
            <v>14657945</v>
          </cell>
        </row>
        <row r="130">
          <cell r="D130">
            <v>64763607</v>
          </cell>
        </row>
        <row r="131">
          <cell r="D131">
            <v>42685938</v>
          </cell>
        </row>
        <row r="132">
          <cell r="D132">
            <v>34823042</v>
          </cell>
        </row>
        <row r="133">
          <cell r="D133">
            <v>30350033</v>
          </cell>
        </row>
        <row r="134">
          <cell r="D134">
            <v>905650</v>
          </cell>
        </row>
        <row r="135">
          <cell r="D135">
            <v>36519</v>
          </cell>
        </row>
        <row r="136">
          <cell r="D136">
            <v>994610</v>
          </cell>
        </row>
        <row r="138">
          <cell r="D138">
            <v>7349160</v>
          </cell>
        </row>
        <row r="139">
          <cell r="D139">
            <v>0</v>
          </cell>
        </row>
        <row r="141">
          <cell r="D141">
            <v>40658491</v>
          </cell>
        </row>
        <row r="143">
          <cell r="D143">
            <v>12258153</v>
          </cell>
        </row>
        <row r="144">
          <cell r="D144">
            <v>13350210</v>
          </cell>
        </row>
        <row r="145">
          <cell r="D145">
            <v>30626068</v>
          </cell>
        </row>
        <row r="146">
          <cell r="D146">
            <v>734273</v>
          </cell>
        </row>
        <row r="147">
          <cell r="D147">
            <v>112031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701 al "/>
    </sheetNames>
    <sheetDataSet>
      <sheetData sheetId="0" refreshError="1">
        <row r="119">
          <cell r="D119">
            <v>565320</v>
          </cell>
        </row>
        <row r="120">
          <cell r="D120">
            <v>4596273</v>
          </cell>
        </row>
        <row r="123">
          <cell r="D123">
            <v>63102350</v>
          </cell>
        </row>
        <row r="125">
          <cell r="D125">
            <v>76815</v>
          </cell>
        </row>
        <row r="126">
          <cell r="D126">
            <v>985272</v>
          </cell>
        </row>
        <row r="127">
          <cell r="D127">
            <v>21919895</v>
          </cell>
        </row>
        <row r="128">
          <cell r="D128">
            <v>292608</v>
          </cell>
        </row>
        <row r="131">
          <cell r="D131">
            <v>921725</v>
          </cell>
        </row>
        <row r="133">
          <cell r="D133">
            <v>1457194</v>
          </cell>
        </row>
        <row r="134">
          <cell r="D134">
            <v>4011185</v>
          </cell>
        </row>
        <row r="136">
          <cell r="D136">
            <v>2999420</v>
          </cell>
        </row>
        <row r="137">
          <cell r="D137">
            <v>926018</v>
          </cell>
        </row>
        <row r="142">
          <cell r="D142">
            <v>49116</v>
          </cell>
        </row>
        <row r="143">
          <cell r="D143">
            <v>1600073</v>
          </cell>
        </row>
        <row r="144">
          <cell r="D144">
            <v>440256</v>
          </cell>
        </row>
        <row r="145">
          <cell r="D145">
            <v>16118009</v>
          </cell>
        </row>
        <row r="146">
          <cell r="D146">
            <v>68952501</v>
          </cell>
        </row>
        <row r="147">
          <cell r="D147">
            <v>38748361</v>
          </cell>
        </row>
        <row r="148">
          <cell r="D148">
            <v>36985677</v>
          </cell>
        </row>
        <row r="149">
          <cell r="D149">
            <v>32166646</v>
          </cell>
        </row>
        <row r="150">
          <cell r="D150">
            <v>1093832</v>
          </cell>
        </row>
        <row r="151">
          <cell r="D151">
            <v>24346</v>
          </cell>
        </row>
        <row r="152">
          <cell r="D152">
            <v>708680</v>
          </cell>
        </row>
        <row r="154">
          <cell r="D154">
            <v>9448920</v>
          </cell>
        </row>
        <row r="157">
          <cell r="D157">
            <v>36114921</v>
          </cell>
        </row>
        <row r="159">
          <cell r="D159">
            <v>6876513</v>
          </cell>
        </row>
        <row r="160">
          <cell r="D160">
            <v>12983334</v>
          </cell>
        </row>
        <row r="161">
          <cell r="D161">
            <v>33500683</v>
          </cell>
        </row>
        <row r="162">
          <cell r="D162">
            <v>1207553</v>
          </cell>
        </row>
        <row r="163">
          <cell r="D163">
            <v>35372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801 al "/>
    </sheetNames>
    <sheetDataSet>
      <sheetData sheetId="0">
        <row r="120">
          <cell r="H120">
            <v>678384</v>
          </cell>
        </row>
        <row r="124">
          <cell r="H124">
            <v>98999275</v>
          </cell>
        </row>
        <row r="127">
          <cell r="H127">
            <v>1001424</v>
          </cell>
        </row>
        <row r="128">
          <cell r="H128">
            <v>20155923</v>
          </cell>
        </row>
        <row r="132">
          <cell r="H132">
            <v>1106070</v>
          </cell>
        </row>
        <row r="134">
          <cell r="H134">
            <v>2887471</v>
          </cell>
        </row>
        <row r="135">
          <cell r="H135">
            <v>6331301</v>
          </cell>
        </row>
        <row r="137">
          <cell r="H137">
            <v>3998383</v>
          </cell>
        </row>
        <row r="144">
          <cell r="H144">
            <v>1227963</v>
          </cell>
        </row>
        <row r="145">
          <cell r="H145">
            <v>642040</v>
          </cell>
        </row>
        <row r="152">
          <cell r="H152">
            <v>12173</v>
          </cell>
        </row>
        <row r="153">
          <cell r="H153">
            <v>850416</v>
          </cell>
        </row>
        <row r="155">
          <cell r="H155">
            <v>8560560</v>
          </cell>
        </row>
        <row r="156">
          <cell r="H156">
            <v>65488</v>
          </cell>
        </row>
        <row r="160">
          <cell r="H160">
            <v>1299177</v>
          </cell>
        </row>
        <row r="161">
          <cell r="H161">
            <v>12759132</v>
          </cell>
        </row>
        <row r="163">
          <cell r="H163">
            <v>1052411</v>
          </cell>
        </row>
        <row r="168">
          <cell r="H168">
            <v>88095434</v>
          </cell>
        </row>
        <row r="183">
          <cell r="H183">
            <v>77299343</v>
          </cell>
        </row>
        <row r="184">
          <cell r="H184">
            <v>43372641</v>
          </cell>
        </row>
        <row r="185">
          <cell r="H185">
            <v>43309424</v>
          </cell>
        </row>
        <row r="186">
          <cell r="H186">
            <v>22735984</v>
          </cell>
        </row>
        <row r="187">
          <cell r="H187">
            <v>52300393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901 al "/>
    </sheetNames>
    <sheetDataSet>
      <sheetData sheetId="0">
        <row r="120">
          <cell r="D120">
            <v>1082184</v>
          </cell>
        </row>
        <row r="122">
          <cell r="D122">
            <v>0</v>
          </cell>
        </row>
        <row r="124">
          <cell r="D124">
            <v>103100593</v>
          </cell>
        </row>
        <row r="127">
          <cell r="D127">
            <v>1453680</v>
          </cell>
        </row>
        <row r="128">
          <cell r="D128">
            <v>19304788</v>
          </cell>
        </row>
        <row r="132">
          <cell r="D132">
            <v>1764445</v>
          </cell>
        </row>
        <row r="134">
          <cell r="D134">
            <v>3978252</v>
          </cell>
        </row>
        <row r="135">
          <cell r="D135">
            <v>8094786</v>
          </cell>
        </row>
        <row r="137">
          <cell r="D137">
            <v>6163584</v>
          </cell>
        </row>
        <row r="144">
          <cell r="D144">
            <v>3311779</v>
          </cell>
        </row>
        <row r="145">
          <cell r="D145">
            <v>587008</v>
          </cell>
        </row>
        <row r="152">
          <cell r="D152">
            <v>36519</v>
          </cell>
        </row>
        <row r="153">
          <cell r="D153">
            <v>1356616</v>
          </cell>
        </row>
        <row r="155">
          <cell r="D155">
            <v>8129840</v>
          </cell>
        </row>
        <row r="156">
          <cell r="D156">
            <v>16372</v>
          </cell>
        </row>
        <row r="160">
          <cell r="D160">
            <v>592470</v>
          </cell>
        </row>
        <row r="161">
          <cell r="D161">
            <v>11964234</v>
          </cell>
        </row>
        <row r="163">
          <cell r="D163">
            <v>1607556</v>
          </cell>
        </row>
        <row r="168">
          <cell r="D168">
            <v>79192544</v>
          </cell>
        </row>
        <row r="183">
          <cell r="D183">
            <v>85453785</v>
          </cell>
        </row>
        <row r="184">
          <cell r="D184">
            <v>52829445</v>
          </cell>
        </row>
        <row r="185">
          <cell r="D185">
            <v>47710547</v>
          </cell>
        </row>
        <row r="186">
          <cell r="D186">
            <v>27347857</v>
          </cell>
        </row>
        <row r="187">
          <cell r="D187">
            <v>56644992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N49"/>
  <sheetViews>
    <sheetView workbookViewId="0">
      <selection activeCell="E11" sqref="E11"/>
    </sheetView>
  </sheetViews>
  <sheetFormatPr baseColWidth="10" defaultRowHeight="15"/>
  <cols>
    <col min="1" max="1" width="54.7109375" customWidth="1"/>
    <col min="2" max="2" width="37.85546875" customWidth="1"/>
    <col min="3" max="3" width="21.140625" customWidth="1"/>
    <col min="4" max="4" width="0" hidden="1" customWidth="1"/>
    <col min="5" max="5" width="12" bestFit="1" customWidth="1"/>
  </cols>
  <sheetData>
    <row r="3" spans="1:3" ht="18.75">
      <c r="A3" s="107" t="s">
        <v>0</v>
      </c>
      <c r="B3" s="107"/>
    </row>
    <row r="4" spans="1:3" ht="18.75">
      <c r="A4" s="107" t="s">
        <v>13</v>
      </c>
      <c r="B4" s="107"/>
    </row>
    <row r="5" spans="1:3" ht="20.25">
      <c r="A5" s="54"/>
      <c r="B5" s="53">
        <v>2017</v>
      </c>
      <c r="C5" s="53">
        <v>2018</v>
      </c>
    </row>
    <row r="6" spans="1:3" ht="15.75">
      <c r="A6" s="1" t="s">
        <v>1</v>
      </c>
      <c r="B6" s="2">
        <v>9230000000</v>
      </c>
      <c r="C6" s="2">
        <f>C7+C8</f>
        <v>9300000000</v>
      </c>
    </row>
    <row r="7" spans="1:3">
      <c r="A7" s="3" t="s">
        <v>2</v>
      </c>
      <c r="B7" s="4">
        <v>1430000000</v>
      </c>
      <c r="C7" s="4">
        <v>1500000000</v>
      </c>
    </row>
    <row r="8" spans="1:3">
      <c r="A8" s="3" t="s">
        <v>3</v>
      </c>
      <c r="B8" s="4">
        <v>7800000000</v>
      </c>
      <c r="C8" s="4">
        <v>7800000000</v>
      </c>
    </row>
    <row r="9" spans="1:3" ht="15.75">
      <c r="A9" s="1" t="s">
        <v>4</v>
      </c>
      <c r="B9" s="2">
        <f>B11+B12+B13+B14</f>
        <v>3023000000</v>
      </c>
      <c r="C9" s="2">
        <f>C11+C12+C13+C14</f>
        <v>3223000000</v>
      </c>
    </row>
    <row r="10" spans="1:3">
      <c r="A10" s="55" t="s">
        <v>5</v>
      </c>
      <c r="B10" s="4"/>
    </row>
    <row r="11" spans="1:3">
      <c r="A11" s="5" t="s">
        <v>6</v>
      </c>
      <c r="B11" s="4">
        <v>10000000</v>
      </c>
      <c r="C11" s="4">
        <v>10000000</v>
      </c>
    </row>
    <row r="12" spans="1:3">
      <c r="A12" s="5" t="s">
        <v>7</v>
      </c>
      <c r="B12" s="4">
        <v>3000000000</v>
      </c>
      <c r="C12" s="4">
        <v>3200000000</v>
      </c>
    </row>
    <row r="13" spans="1:3">
      <c r="A13" s="5" t="s">
        <v>8</v>
      </c>
      <c r="B13" s="4">
        <v>12000000</v>
      </c>
      <c r="C13" s="4">
        <v>12000000</v>
      </c>
    </row>
    <row r="14" spans="1:3">
      <c r="A14" s="5" t="s">
        <v>9</v>
      </c>
      <c r="B14" s="4">
        <v>1000000</v>
      </c>
      <c r="C14" s="4">
        <v>1000000</v>
      </c>
    </row>
    <row r="15" spans="1:3" ht="15.75">
      <c r="A15" s="6" t="s">
        <v>19</v>
      </c>
      <c r="B15" s="7">
        <f>B6+B9</f>
        <v>12253000000</v>
      </c>
      <c r="C15" s="7">
        <f>C6+C9</f>
        <v>12523000000</v>
      </c>
    </row>
    <row r="19" spans="1:560" ht="15.75">
      <c r="A19" s="108" t="s">
        <v>0</v>
      </c>
      <c r="B19" s="108"/>
      <c r="C19" s="12"/>
    </row>
    <row r="20" spans="1:560" ht="15.75">
      <c r="A20" s="108" t="s">
        <v>14</v>
      </c>
      <c r="B20" s="108"/>
      <c r="C20" s="12"/>
    </row>
    <row r="21" spans="1:560" ht="18.75">
      <c r="A21" s="8"/>
      <c r="B21" s="53">
        <v>2017</v>
      </c>
      <c r="C21" s="53">
        <v>2018</v>
      </c>
    </row>
    <row r="22" spans="1:560" ht="15.75">
      <c r="A22" s="1" t="s">
        <v>10</v>
      </c>
      <c r="B22" s="9">
        <v>8962000000</v>
      </c>
      <c r="C22" s="9">
        <v>9232000000</v>
      </c>
    </row>
    <row r="23" spans="1:560" ht="15.75">
      <c r="A23" s="10" t="s">
        <v>11</v>
      </c>
      <c r="B23" s="9">
        <v>0</v>
      </c>
      <c r="C23" s="9">
        <v>0</v>
      </c>
    </row>
    <row r="24" spans="1:560" s="1" customFormat="1" ht="15.75">
      <c r="A24" s="1" t="s">
        <v>21</v>
      </c>
      <c r="B24" s="2">
        <v>3291000000</v>
      </c>
      <c r="C24" s="2">
        <v>3291000000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</row>
    <row r="25" spans="1:560" ht="15.75">
      <c r="A25" s="1" t="s">
        <v>18</v>
      </c>
      <c r="B25" s="14"/>
      <c r="C25" s="14"/>
    </row>
    <row r="26" spans="1:560">
      <c r="A26" s="14" t="s">
        <v>20</v>
      </c>
      <c r="B26" s="4">
        <v>400000000</v>
      </c>
      <c r="C26" s="4">
        <v>400000000</v>
      </c>
    </row>
    <row r="27" spans="1:560">
      <c r="A27" s="11" t="s">
        <v>15</v>
      </c>
      <c r="B27" s="4">
        <v>881700000</v>
      </c>
      <c r="C27" s="4">
        <v>881700000</v>
      </c>
    </row>
    <row r="28" spans="1:560">
      <c r="A28" s="11" t="s">
        <v>16</v>
      </c>
      <c r="B28" s="4">
        <v>370000000</v>
      </c>
      <c r="C28" s="4">
        <v>370000000</v>
      </c>
    </row>
    <row r="29" spans="1:560">
      <c r="A29" s="11" t="s">
        <v>12</v>
      </c>
      <c r="B29" s="4">
        <v>1082500000</v>
      </c>
      <c r="C29" s="4">
        <v>1082500000</v>
      </c>
    </row>
    <row r="30" spans="1:560">
      <c r="A30" s="11" t="s">
        <v>17</v>
      </c>
      <c r="B30" s="4">
        <v>556800000</v>
      </c>
      <c r="C30" s="4">
        <v>556800000</v>
      </c>
    </row>
    <row r="31" spans="1:560" ht="15.75">
      <c r="A31" s="6" t="s">
        <v>19</v>
      </c>
      <c r="B31" s="7">
        <f>B22+B24</f>
        <v>12253000000</v>
      </c>
      <c r="C31" s="7">
        <f>C22+C24</f>
        <v>12523000000</v>
      </c>
    </row>
    <row r="40" spans="2:2">
      <c r="B40" s="13"/>
    </row>
    <row r="43" spans="2:2">
      <c r="B43" s="13"/>
    </row>
    <row r="44" spans="2:2">
      <c r="B44" s="13"/>
    </row>
    <row r="45" spans="2:2">
      <c r="B45" s="13"/>
    </row>
    <row r="46" spans="2:2">
      <c r="B46" s="13"/>
    </row>
    <row r="47" spans="2:2">
      <c r="B47" s="13"/>
    </row>
    <row r="48" spans="2:2">
      <c r="B48" s="13"/>
    </row>
    <row r="49" spans="2:2">
      <c r="B49" s="13"/>
    </row>
  </sheetData>
  <mergeCells count="4">
    <mergeCell ref="A3:B3"/>
    <mergeCell ref="A4:B4"/>
    <mergeCell ref="A19:B19"/>
    <mergeCell ref="A20:B20"/>
  </mergeCells>
  <pageMargins left="1.68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opLeftCell="H55" zoomScaleNormal="100" zoomScaleSheetLayoutView="50" zoomScalePageLayoutView="55" workbookViewId="0">
      <selection activeCell="B68" sqref="B68"/>
    </sheetView>
  </sheetViews>
  <sheetFormatPr baseColWidth="10" defaultRowHeight="15"/>
  <cols>
    <col min="1" max="1" width="13" customWidth="1"/>
    <col min="2" max="2" width="62.85546875" customWidth="1"/>
    <col min="3" max="3" width="33" customWidth="1"/>
    <col min="4" max="4" width="27.140625" customWidth="1"/>
    <col min="5" max="5" width="27" customWidth="1"/>
    <col min="6" max="6" width="12.7109375" customWidth="1"/>
    <col min="7" max="7" width="31.7109375" customWidth="1"/>
    <col min="8" max="8" width="21.85546875" customWidth="1"/>
    <col min="9" max="12" width="22.28515625" bestFit="1" customWidth="1"/>
    <col min="13" max="13" width="17" customWidth="1"/>
    <col min="14" max="14" width="15.28515625" customWidth="1"/>
    <col min="15" max="15" width="13.5703125" customWidth="1"/>
    <col min="16" max="16" width="18.28515625" customWidth="1"/>
    <col min="17" max="17" width="17.7109375" customWidth="1"/>
    <col min="18" max="18" width="19" customWidth="1"/>
    <col min="19" max="19" width="32.28515625" customWidth="1"/>
    <col min="20" max="20" width="29.7109375" customWidth="1"/>
    <col min="21" max="21" width="15.140625" bestFit="1" customWidth="1"/>
  </cols>
  <sheetData>
    <row r="1" spans="1:21" ht="28.35" customHeight="1">
      <c r="A1" s="109" t="s">
        <v>22</v>
      </c>
      <c r="B1" s="109" t="s">
        <v>23</v>
      </c>
      <c r="C1" s="109" t="s">
        <v>85</v>
      </c>
      <c r="D1" s="111" t="s">
        <v>196</v>
      </c>
      <c r="E1" s="112"/>
      <c r="F1" s="109" t="s">
        <v>184</v>
      </c>
      <c r="G1" s="109" t="s">
        <v>187</v>
      </c>
      <c r="H1" s="109" t="s">
        <v>185</v>
      </c>
      <c r="I1" s="109" t="s">
        <v>186</v>
      </c>
      <c r="J1" s="109" t="s">
        <v>188</v>
      </c>
      <c r="K1" s="109" t="s">
        <v>189</v>
      </c>
      <c r="L1" s="109" t="s">
        <v>190</v>
      </c>
      <c r="M1" s="109" t="s">
        <v>193</v>
      </c>
      <c r="N1" s="109" t="s">
        <v>194</v>
      </c>
      <c r="O1" s="109" t="s">
        <v>199</v>
      </c>
      <c r="P1" s="109" t="s">
        <v>202</v>
      </c>
      <c r="Q1" s="109" t="s">
        <v>224</v>
      </c>
      <c r="R1" s="109" t="s">
        <v>233</v>
      </c>
      <c r="S1" s="109" t="s">
        <v>234</v>
      </c>
      <c r="T1" s="109" t="s">
        <v>235</v>
      </c>
    </row>
    <row r="2" spans="1:21" ht="28.35" customHeight="1">
      <c r="A2" s="110"/>
      <c r="B2" s="110"/>
      <c r="C2" s="110"/>
      <c r="D2" s="52" t="s">
        <v>197</v>
      </c>
      <c r="E2" s="52" t="s">
        <v>198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 ht="17.25" customHeight="1">
      <c r="A3" s="11"/>
      <c r="B3" s="15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1" ht="17.25" customHeight="1">
      <c r="A4" s="11"/>
      <c r="B4" s="11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17.25" customHeight="1">
      <c r="A5" s="46">
        <v>30501</v>
      </c>
      <c r="B5" s="11" t="s">
        <v>25</v>
      </c>
      <c r="C5" s="16">
        <f>SUM(C6:C16)</f>
        <v>4022665696</v>
      </c>
      <c r="D5" s="16">
        <f t="shared" ref="D5:G5" si="0">SUM(D6:D16)</f>
        <v>270700000</v>
      </c>
      <c r="E5" s="16">
        <f t="shared" si="0"/>
        <v>45000000</v>
      </c>
      <c r="F5" s="16">
        <f t="shared" si="0"/>
        <v>0</v>
      </c>
      <c r="G5" s="16">
        <f t="shared" si="0"/>
        <v>4248365696</v>
      </c>
      <c r="H5" s="16">
        <f t="shared" ref="H5:T5" si="1">SUM(H6:H16)</f>
        <v>290043177</v>
      </c>
      <c r="I5" s="16">
        <f t="shared" si="1"/>
        <v>285753880</v>
      </c>
      <c r="J5" s="16">
        <f t="shared" si="1"/>
        <v>280993839</v>
      </c>
      <c r="K5" s="16">
        <f t="shared" si="1"/>
        <v>299514360</v>
      </c>
      <c r="L5" s="16">
        <f t="shared" si="1"/>
        <v>286116645</v>
      </c>
      <c r="M5" s="16">
        <f t="shared" si="1"/>
        <v>301828330</v>
      </c>
      <c r="N5" s="16">
        <f t="shared" si="1"/>
        <v>542959023</v>
      </c>
      <c r="O5" s="16">
        <f t="shared" si="1"/>
        <v>333191529</v>
      </c>
      <c r="P5" s="16">
        <f t="shared" si="1"/>
        <v>309101965</v>
      </c>
      <c r="Q5" s="16">
        <f t="shared" si="1"/>
        <v>295167241</v>
      </c>
      <c r="R5" s="16">
        <f t="shared" si="1"/>
        <v>320968201</v>
      </c>
      <c r="S5" s="16">
        <f t="shared" si="1"/>
        <v>638688953</v>
      </c>
      <c r="T5" s="16">
        <f t="shared" si="1"/>
        <v>4184327143</v>
      </c>
    </row>
    <row r="6" spans="1:21" ht="17.25" customHeight="1">
      <c r="A6" s="46">
        <v>30501180401</v>
      </c>
      <c r="B6" s="17" t="s">
        <v>26</v>
      </c>
      <c r="C6" s="18">
        <v>3054529442</v>
      </c>
      <c r="D6" s="18">
        <v>45300000</v>
      </c>
      <c r="E6" s="18"/>
      <c r="F6" s="19"/>
      <c r="G6" s="19">
        <f>C6+D6-E6+F6</f>
        <v>3099829442</v>
      </c>
      <c r="H6" s="18">
        <v>243274394</v>
      </c>
      <c r="I6" s="18">
        <v>248637815</v>
      </c>
      <c r="J6" s="18">
        <v>236602499</v>
      </c>
      <c r="K6" s="18">
        <v>241621244</v>
      </c>
      <c r="L6" s="18">
        <v>243226636</v>
      </c>
      <c r="M6" s="18">
        <v>254060455</v>
      </c>
      <c r="N6" s="18">
        <v>339829240</v>
      </c>
      <c r="O6" s="18">
        <v>261630075</v>
      </c>
      <c r="P6" s="18">
        <v>259908483</v>
      </c>
      <c r="Q6" s="18">
        <v>248672171</v>
      </c>
      <c r="R6" s="18">
        <v>260478171</v>
      </c>
      <c r="S6" s="18">
        <v>261877902</v>
      </c>
      <c r="T6" s="19">
        <f>H6+I6+J6+K6+L6+M6+N6+O6+P6+Q6+R6+S6</f>
        <v>3099819085</v>
      </c>
    </row>
    <row r="7" spans="1:21" ht="17.25" customHeight="1">
      <c r="A7" s="46">
        <v>30501180402</v>
      </c>
      <c r="B7" s="11" t="s">
        <v>27</v>
      </c>
      <c r="C7" s="19">
        <v>257189583</v>
      </c>
      <c r="D7" s="19">
        <v>70000000</v>
      </c>
      <c r="E7" s="19">
        <f>10700000</f>
        <v>10700000</v>
      </c>
      <c r="F7" s="19"/>
      <c r="G7" s="19">
        <f t="shared" ref="G7:G28" si="2">C7+D7-E7+F7</f>
        <v>316489583</v>
      </c>
      <c r="H7" s="18"/>
      <c r="I7" s="18"/>
      <c r="J7" s="18">
        <v>0</v>
      </c>
      <c r="K7" s="18"/>
      <c r="L7" s="18"/>
      <c r="M7" s="18"/>
      <c r="N7" s="18"/>
      <c r="O7" s="18"/>
      <c r="P7" s="18"/>
      <c r="Q7" s="18">
        <v>0</v>
      </c>
      <c r="R7" s="18"/>
      <c r="S7" s="18">
        <v>314657683</v>
      </c>
      <c r="T7" s="19">
        <f t="shared" ref="T7:T28" si="3">H7+I7+J7+K7+L7+M7+N7+O7+P7+Q7+R7+S7</f>
        <v>314657683</v>
      </c>
    </row>
    <row r="8" spans="1:21" ht="17.25" customHeight="1">
      <c r="A8" s="46">
        <v>30501180403</v>
      </c>
      <c r="B8" s="11" t="s">
        <v>28</v>
      </c>
      <c r="C8" s="19">
        <v>128149827</v>
      </c>
      <c r="D8" s="19"/>
      <c r="E8" s="19">
        <v>20000000</v>
      </c>
      <c r="F8" s="19"/>
      <c r="G8" s="19">
        <f t="shared" si="2"/>
        <v>108149827</v>
      </c>
      <c r="H8" s="18">
        <v>5450543</v>
      </c>
      <c r="I8" s="18">
        <v>9503763</v>
      </c>
      <c r="J8" s="18">
        <v>6153039</v>
      </c>
      <c r="K8" s="18">
        <v>10832273</v>
      </c>
      <c r="L8" s="18">
        <v>7357416</v>
      </c>
      <c r="M8" s="18">
        <v>8596075</v>
      </c>
      <c r="N8" s="18">
        <v>4912094</v>
      </c>
      <c r="O8" s="18">
        <v>17499012</v>
      </c>
      <c r="P8" s="18">
        <v>10589604</v>
      </c>
      <c r="Q8" s="18">
        <v>7357476</v>
      </c>
      <c r="R8" s="18">
        <v>2664351</v>
      </c>
      <c r="S8" s="18">
        <v>2846831</v>
      </c>
      <c r="T8" s="19">
        <f t="shared" si="3"/>
        <v>93762477</v>
      </c>
      <c r="U8" s="24"/>
    </row>
    <row r="9" spans="1:21" ht="17.25" customHeight="1">
      <c r="A9" s="46">
        <v>30501180404</v>
      </c>
      <c r="B9" s="11" t="s">
        <v>29</v>
      </c>
      <c r="C9" s="19">
        <v>15000000</v>
      </c>
      <c r="D9" s="19"/>
      <c r="E9" s="19">
        <v>10000000</v>
      </c>
      <c r="F9" s="19"/>
      <c r="G9" s="19">
        <f t="shared" si="2"/>
        <v>5000000</v>
      </c>
      <c r="H9" s="18"/>
      <c r="I9" s="18"/>
      <c r="J9" s="18">
        <v>0</v>
      </c>
      <c r="K9" s="18"/>
      <c r="L9" s="18"/>
      <c r="M9" s="18"/>
      <c r="N9" s="18"/>
      <c r="O9" s="18"/>
      <c r="P9" s="18"/>
      <c r="Q9" s="18">
        <v>0</v>
      </c>
      <c r="R9" s="18"/>
      <c r="S9" s="18">
        <v>0</v>
      </c>
      <c r="T9" s="19">
        <f t="shared" si="3"/>
        <v>0</v>
      </c>
    </row>
    <row r="10" spans="1:21" ht="17.25" customHeight="1">
      <c r="A10" s="46">
        <v>30501180405</v>
      </c>
      <c r="B10" s="11" t="s">
        <v>30</v>
      </c>
      <c r="C10" s="19">
        <v>3000000</v>
      </c>
      <c r="D10" s="19"/>
      <c r="E10" s="19"/>
      <c r="F10" s="19"/>
      <c r="G10" s="19">
        <f t="shared" si="2"/>
        <v>3000000</v>
      </c>
      <c r="H10" s="18">
        <v>107268</v>
      </c>
      <c r="I10" s="18">
        <v>107268</v>
      </c>
      <c r="J10" s="18">
        <v>166280</v>
      </c>
      <c r="K10" s="18">
        <v>166280</v>
      </c>
      <c r="L10" s="18">
        <v>166280</v>
      </c>
      <c r="M10" s="18">
        <v>166280</v>
      </c>
      <c r="N10" s="18">
        <v>166280</v>
      </c>
      <c r="O10" s="18">
        <v>166280</v>
      </c>
      <c r="P10" s="18">
        <v>83140</v>
      </c>
      <c r="Q10" s="18">
        <v>135795</v>
      </c>
      <c r="R10" s="18">
        <v>166280</v>
      </c>
      <c r="S10" s="18">
        <v>166280</v>
      </c>
      <c r="T10" s="19">
        <f t="shared" si="3"/>
        <v>1763711</v>
      </c>
    </row>
    <row r="11" spans="1:21" ht="17.25" customHeight="1">
      <c r="A11" s="46">
        <v>30501180406</v>
      </c>
      <c r="B11" s="11" t="s">
        <v>31</v>
      </c>
      <c r="C11" s="19">
        <v>27000000</v>
      </c>
      <c r="D11" s="19"/>
      <c r="E11" s="19">
        <v>4300000</v>
      </c>
      <c r="F11" s="19"/>
      <c r="G11" s="19">
        <f t="shared" si="2"/>
        <v>22700000</v>
      </c>
      <c r="H11" s="18"/>
      <c r="I11" s="18"/>
      <c r="J11" s="18">
        <v>0</v>
      </c>
      <c r="K11" s="18"/>
      <c r="L11" s="18"/>
      <c r="M11" s="18"/>
      <c r="N11" s="18"/>
      <c r="O11" s="18">
        <v>3692494</v>
      </c>
      <c r="P11" s="18"/>
      <c r="Q11" s="18"/>
      <c r="R11" s="18">
        <v>18893365</v>
      </c>
      <c r="S11" s="18">
        <v>0</v>
      </c>
      <c r="T11" s="19">
        <f t="shared" si="3"/>
        <v>22585859</v>
      </c>
    </row>
    <row r="12" spans="1:21" ht="17.25" customHeight="1">
      <c r="A12" s="46">
        <v>30501180407</v>
      </c>
      <c r="B12" s="11" t="s">
        <v>32</v>
      </c>
      <c r="C12" s="105">
        <v>1000000</v>
      </c>
      <c r="D12" s="19"/>
      <c r="E12" s="19"/>
      <c r="F12" s="19"/>
      <c r="G12" s="19">
        <f t="shared" si="2"/>
        <v>1000000</v>
      </c>
      <c r="H12" s="18"/>
      <c r="I12" s="18"/>
      <c r="J12" s="18">
        <v>0</v>
      </c>
      <c r="K12" s="18"/>
      <c r="L12" s="18"/>
      <c r="M12" s="18"/>
      <c r="N12" s="18"/>
      <c r="O12" s="18"/>
      <c r="P12" s="18"/>
      <c r="Q12" s="18"/>
      <c r="R12" s="18"/>
      <c r="S12" s="18">
        <v>0</v>
      </c>
      <c r="T12" s="19">
        <f t="shared" si="3"/>
        <v>0</v>
      </c>
    </row>
    <row r="13" spans="1:21" ht="17.25" customHeight="1">
      <c r="A13" s="46">
        <v>30501180408</v>
      </c>
      <c r="B13" s="11" t="s">
        <v>33</v>
      </c>
      <c r="C13" s="19">
        <v>300000000</v>
      </c>
      <c r="D13" s="19">
        <f>90000000+15000000+2700000</f>
        <v>107700000</v>
      </c>
      <c r="E13" s="19"/>
      <c r="F13" s="19"/>
      <c r="G13" s="19">
        <f t="shared" si="2"/>
        <v>407700000</v>
      </c>
      <c r="H13" s="18">
        <v>30970283</v>
      </c>
      <c r="I13" s="18">
        <v>23046868</v>
      </c>
      <c r="J13" s="18">
        <v>29033767</v>
      </c>
      <c r="K13" s="18">
        <v>39852756</v>
      </c>
      <c r="L13" s="18">
        <v>30230764</v>
      </c>
      <c r="M13" s="18">
        <v>31427020</v>
      </c>
      <c r="N13" s="18">
        <v>54360179</v>
      </c>
      <c r="O13" s="18">
        <v>32225375</v>
      </c>
      <c r="P13" s="18">
        <v>26332600</v>
      </c>
      <c r="Q13" s="18">
        <v>32038412</v>
      </c>
      <c r="R13" s="18">
        <v>35123282</v>
      </c>
      <c r="S13" s="18">
        <v>42928842</v>
      </c>
      <c r="T13" s="19">
        <f t="shared" si="3"/>
        <v>407570148</v>
      </c>
    </row>
    <row r="14" spans="1:21" ht="17.25" customHeight="1">
      <c r="A14" s="46">
        <v>30501180409</v>
      </c>
      <c r="B14" s="11" t="s">
        <v>34</v>
      </c>
      <c r="C14" s="19">
        <v>127706402</v>
      </c>
      <c r="D14" s="19">
        <v>10700000</v>
      </c>
      <c r="E14" s="19"/>
      <c r="F14" s="19"/>
      <c r="G14" s="19">
        <f t="shared" si="2"/>
        <v>138406402</v>
      </c>
      <c r="H14" s="18"/>
      <c r="I14" s="18"/>
      <c r="J14" s="18">
        <v>0</v>
      </c>
      <c r="K14" s="18"/>
      <c r="L14" s="18"/>
      <c r="M14" s="18"/>
      <c r="N14" s="18">
        <v>138291178</v>
      </c>
      <c r="O14" s="18"/>
      <c r="P14" s="18"/>
      <c r="Q14" s="18"/>
      <c r="R14" s="18"/>
      <c r="S14" s="18">
        <v>0</v>
      </c>
      <c r="T14" s="19">
        <f t="shared" si="3"/>
        <v>138291178</v>
      </c>
    </row>
    <row r="15" spans="1:21" ht="17.25" customHeight="1">
      <c r="A15" s="46">
        <v>30501180410</v>
      </c>
      <c r="B15" s="11" t="s">
        <v>35</v>
      </c>
      <c r="C15" s="19">
        <v>89090442</v>
      </c>
      <c r="D15" s="19">
        <v>27000000</v>
      </c>
      <c r="E15" s="19"/>
      <c r="F15" s="19"/>
      <c r="G15" s="19">
        <f t="shared" si="2"/>
        <v>116090442</v>
      </c>
      <c r="H15" s="18">
        <v>9548557</v>
      </c>
      <c r="I15" s="18">
        <v>3257578</v>
      </c>
      <c r="J15" s="18">
        <v>8259466</v>
      </c>
      <c r="K15" s="18">
        <v>5682893</v>
      </c>
      <c r="L15" s="18">
        <v>4215231</v>
      </c>
      <c r="M15" s="18">
        <v>6509386</v>
      </c>
      <c r="N15" s="18">
        <v>5080233</v>
      </c>
      <c r="O15" s="18">
        <v>15798469</v>
      </c>
      <c r="P15" s="18">
        <v>770992</v>
      </c>
      <c r="Q15" s="18">
        <v>6048261</v>
      </c>
      <c r="R15" s="18">
        <v>3310790</v>
      </c>
      <c r="S15" s="18">
        <v>15857322</v>
      </c>
      <c r="T15" s="19">
        <f t="shared" si="3"/>
        <v>84339178</v>
      </c>
    </row>
    <row r="16" spans="1:21" ht="17.25" customHeight="1">
      <c r="A16" s="46">
        <v>30501180411</v>
      </c>
      <c r="B16" s="11" t="s">
        <v>36</v>
      </c>
      <c r="C16" s="19">
        <v>20000000</v>
      </c>
      <c r="D16" s="19">
        <v>10000000</v>
      </c>
      <c r="E16" s="19"/>
      <c r="F16" s="19"/>
      <c r="G16" s="19">
        <f t="shared" si="2"/>
        <v>30000000</v>
      </c>
      <c r="H16" s="18">
        <v>692132</v>
      </c>
      <c r="I16" s="18">
        <v>1200588</v>
      </c>
      <c r="J16" s="18">
        <v>778788</v>
      </c>
      <c r="K16" s="18">
        <v>1358914</v>
      </c>
      <c r="L16" s="18">
        <v>920318</v>
      </c>
      <c r="M16" s="18">
        <v>1069114</v>
      </c>
      <c r="N16" s="18">
        <v>319819</v>
      </c>
      <c r="O16" s="18">
        <v>2179824</v>
      </c>
      <c r="P16" s="18">
        <v>11417146</v>
      </c>
      <c r="Q16" s="18">
        <v>915126</v>
      </c>
      <c r="R16" s="18">
        <v>331962</v>
      </c>
      <c r="S16" s="18">
        <v>354093</v>
      </c>
      <c r="T16" s="19">
        <f t="shared" si="3"/>
        <v>21537824</v>
      </c>
    </row>
    <row r="17" spans="1:20" ht="17.25" customHeight="1">
      <c r="A17" s="11"/>
      <c r="B17" s="11" t="s">
        <v>37</v>
      </c>
      <c r="C17" s="16">
        <f t="shared" ref="C17:G17" si="4">SUM(C18:C21)</f>
        <v>1403207526</v>
      </c>
      <c r="D17" s="16">
        <f t="shared" si="4"/>
        <v>0</v>
      </c>
      <c r="E17" s="16">
        <f t="shared" si="4"/>
        <v>30000000</v>
      </c>
      <c r="F17" s="16">
        <f t="shared" si="4"/>
        <v>0</v>
      </c>
      <c r="G17" s="16">
        <f t="shared" si="4"/>
        <v>1373207526</v>
      </c>
      <c r="H17" s="16">
        <f t="shared" ref="H17:I17" si="5">SUM(H18:H21)</f>
        <v>58452988</v>
      </c>
      <c r="I17" s="16">
        <f t="shared" si="5"/>
        <v>52998721</v>
      </c>
      <c r="J17" s="16">
        <f>SUM(J18:J21)</f>
        <v>205000000</v>
      </c>
      <c r="K17" s="16">
        <f t="shared" ref="K17:T17" si="6">SUM(K18:K21)</f>
        <v>63500000</v>
      </c>
      <c r="L17" s="16">
        <f t="shared" si="6"/>
        <v>80700000</v>
      </c>
      <c r="M17" s="16">
        <f t="shared" si="6"/>
        <v>84905756</v>
      </c>
      <c r="N17" s="16">
        <f t="shared" si="6"/>
        <v>81616666</v>
      </c>
      <c r="O17" s="16">
        <f t="shared" si="6"/>
        <v>0</v>
      </c>
      <c r="P17" s="16">
        <f t="shared" si="6"/>
        <v>68000000</v>
      </c>
      <c r="Q17" s="16">
        <f t="shared" si="6"/>
        <v>0</v>
      </c>
      <c r="R17" s="16">
        <f t="shared" si="6"/>
        <v>0</v>
      </c>
      <c r="S17" s="16">
        <f t="shared" si="6"/>
        <v>104372619</v>
      </c>
      <c r="T17" s="16">
        <f t="shared" si="6"/>
        <v>799546750</v>
      </c>
    </row>
    <row r="18" spans="1:20" ht="17.25" customHeight="1">
      <c r="A18" s="46">
        <v>30501180412</v>
      </c>
      <c r="B18" s="11" t="s">
        <v>38</v>
      </c>
      <c r="C18" s="19">
        <v>459500000</v>
      </c>
      <c r="D18" s="19"/>
      <c r="E18" s="19">
        <v>30000000</v>
      </c>
      <c r="F18" s="19"/>
      <c r="G18" s="19">
        <f t="shared" si="2"/>
        <v>429500000</v>
      </c>
      <c r="H18" s="18">
        <v>25500000</v>
      </c>
      <c r="I18" s="18">
        <v>36000000</v>
      </c>
      <c r="J18" s="18">
        <v>167000000</v>
      </c>
      <c r="K18" s="18">
        <v>25500000</v>
      </c>
      <c r="L18" s="18">
        <v>0</v>
      </c>
      <c r="M18" s="18">
        <v>41400000</v>
      </c>
      <c r="N18" s="18">
        <v>81616666</v>
      </c>
      <c r="O18" s="18"/>
      <c r="P18" s="18"/>
      <c r="Q18" s="18"/>
      <c r="R18" s="18"/>
      <c r="S18" s="18">
        <v>17145116</v>
      </c>
      <c r="T18" s="19">
        <f t="shared" si="3"/>
        <v>394161782</v>
      </c>
    </row>
    <row r="19" spans="1:20" ht="17.25" customHeight="1">
      <c r="A19" s="46">
        <v>30501180413</v>
      </c>
      <c r="B19" s="14" t="s">
        <v>200</v>
      </c>
      <c r="C19" s="19">
        <v>250000000</v>
      </c>
      <c r="D19" s="19"/>
      <c r="E19" s="19"/>
      <c r="F19" s="19"/>
      <c r="G19" s="19">
        <f t="shared" si="2"/>
        <v>250000000</v>
      </c>
      <c r="H19" s="18">
        <v>32952988</v>
      </c>
      <c r="I19" s="18">
        <v>16998721</v>
      </c>
      <c r="J19" s="18"/>
      <c r="K19" s="18">
        <v>0</v>
      </c>
      <c r="L19" s="18">
        <v>12700000</v>
      </c>
      <c r="M19" s="18">
        <v>1835252</v>
      </c>
      <c r="N19" s="18"/>
      <c r="O19" s="18"/>
      <c r="P19" s="18"/>
      <c r="Q19" s="18"/>
      <c r="R19" s="18"/>
      <c r="S19" s="18">
        <f>60123254+57255+22478056+83140</f>
        <v>82741705</v>
      </c>
      <c r="T19" s="19">
        <f t="shared" si="3"/>
        <v>147228666</v>
      </c>
    </row>
    <row r="20" spans="1:20" ht="17.25" customHeight="1">
      <c r="A20" s="46">
        <v>30501180414</v>
      </c>
      <c r="B20" s="11" t="s">
        <v>39</v>
      </c>
      <c r="C20" s="19">
        <v>692707526</v>
      </c>
      <c r="D20" s="19"/>
      <c r="E20" s="19"/>
      <c r="F20" s="19"/>
      <c r="G20" s="19">
        <f t="shared" si="2"/>
        <v>692707526</v>
      </c>
      <c r="H20" s="18"/>
      <c r="I20" s="18"/>
      <c r="J20" s="18">
        <v>38000000</v>
      </c>
      <c r="K20" s="18">
        <v>38000000</v>
      </c>
      <c r="L20" s="18">
        <v>68000000</v>
      </c>
      <c r="M20" s="18">
        <v>41670504</v>
      </c>
      <c r="N20" s="18"/>
      <c r="O20" s="18"/>
      <c r="P20" s="18">
        <v>68000000</v>
      </c>
      <c r="Q20" s="18"/>
      <c r="R20" s="18"/>
      <c r="S20" s="18">
        <v>4485798</v>
      </c>
      <c r="T20" s="19">
        <f t="shared" si="3"/>
        <v>258156302</v>
      </c>
    </row>
    <row r="21" spans="1:20" ht="17.25" customHeight="1">
      <c r="A21" s="46">
        <v>30501180415</v>
      </c>
      <c r="B21" s="11" t="s">
        <v>40</v>
      </c>
      <c r="C21" s="105">
        <v>1000000</v>
      </c>
      <c r="D21" s="19"/>
      <c r="E21" s="19"/>
      <c r="F21" s="19"/>
      <c r="G21" s="19">
        <f t="shared" si="2"/>
        <v>1000000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>
        <f t="shared" si="3"/>
        <v>0</v>
      </c>
    </row>
    <row r="22" spans="1:20" ht="17.25" customHeight="1">
      <c r="A22" s="46">
        <v>30501180416</v>
      </c>
      <c r="B22" s="11" t="s">
        <v>41</v>
      </c>
      <c r="C22" s="16">
        <f>SUM(C23:C28)</f>
        <v>1278084245</v>
      </c>
      <c r="D22" s="16">
        <f t="shared" ref="D22:G22" si="7">SUM(D23:D28)</f>
        <v>0</v>
      </c>
      <c r="E22" s="16">
        <f t="shared" si="7"/>
        <v>183300000</v>
      </c>
      <c r="F22" s="16">
        <f t="shared" si="7"/>
        <v>0</v>
      </c>
      <c r="G22" s="16">
        <f t="shared" si="7"/>
        <v>1094784245</v>
      </c>
      <c r="H22" s="16">
        <f>SUM(H23:H28)</f>
        <v>63294216</v>
      </c>
      <c r="I22" s="16">
        <f t="shared" ref="I22:T22" si="8">SUM(I23:I28)</f>
        <v>62564452</v>
      </c>
      <c r="J22" s="16">
        <f t="shared" si="8"/>
        <v>61121814</v>
      </c>
      <c r="K22" s="16">
        <f t="shared" si="8"/>
        <v>63592345</v>
      </c>
      <c r="L22" s="16">
        <f t="shared" si="8"/>
        <v>65154374</v>
      </c>
      <c r="M22" s="16">
        <f t="shared" si="8"/>
        <v>56845921</v>
      </c>
      <c r="N22" s="16">
        <f t="shared" si="8"/>
        <v>76952816</v>
      </c>
      <c r="O22" s="16">
        <f t="shared" si="8"/>
        <v>58471399</v>
      </c>
      <c r="P22" s="16">
        <f t="shared" si="8"/>
        <v>57172249</v>
      </c>
      <c r="Q22" s="16">
        <f t="shared" si="8"/>
        <v>56827755</v>
      </c>
      <c r="R22" s="16">
        <f t="shared" si="8"/>
        <v>62235783</v>
      </c>
      <c r="S22" s="16">
        <f t="shared" si="8"/>
        <v>157345724</v>
      </c>
      <c r="T22" s="56">
        <f t="shared" si="8"/>
        <v>841578848</v>
      </c>
    </row>
    <row r="23" spans="1:20" ht="17.25" customHeight="1">
      <c r="A23" s="46">
        <v>30501180417</v>
      </c>
      <c r="B23" s="11" t="s">
        <v>42</v>
      </c>
      <c r="C23" s="19">
        <v>122301178</v>
      </c>
      <c r="D23" s="19"/>
      <c r="E23" s="19"/>
      <c r="F23" s="19"/>
      <c r="G23" s="19">
        <f t="shared" si="2"/>
        <v>122301178</v>
      </c>
      <c r="H23" s="26">
        <v>9518100</v>
      </c>
      <c r="I23" s="26">
        <v>9303400</v>
      </c>
      <c r="J23" s="26">
        <v>8956874</v>
      </c>
      <c r="K23" s="26">
        <v>9056235</v>
      </c>
      <c r="L23" s="26">
        <v>9154789</v>
      </c>
      <c r="M23" s="26">
        <v>9456871</v>
      </c>
      <c r="N23" s="26">
        <v>10574822</v>
      </c>
      <c r="O23" s="26">
        <v>7542681</v>
      </c>
      <c r="P23" s="26">
        <v>7241864</v>
      </c>
      <c r="Q23" s="26">
        <v>7024589</v>
      </c>
      <c r="R23" s="26">
        <v>7986542</v>
      </c>
      <c r="S23" s="26">
        <v>17025894</v>
      </c>
      <c r="T23" s="19">
        <f t="shared" si="3"/>
        <v>112842661</v>
      </c>
    </row>
    <row r="24" spans="1:20" ht="17.25" customHeight="1">
      <c r="A24" s="46">
        <v>30501180418</v>
      </c>
      <c r="B24" s="11" t="s">
        <v>43</v>
      </c>
      <c r="C24" s="19">
        <v>120229971</v>
      </c>
      <c r="D24" s="19"/>
      <c r="E24" s="19">
        <v>20000000</v>
      </c>
      <c r="F24" s="19"/>
      <c r="G24" s="19">
        <f t="shared" si="2"/>
        <v>100229971</v>
      </c>
      <c r="H24" s="26">
        <v>5903900</v>
      </c>
      <c r="I24" s="26">
        <v>5849200</v>
      </c>
      <c r="J24" s="26">
        <v>5145782</v>
      </c>
      <c r="K24" s="26">
        <v>5238756</v>
      </c>
      <c r="L24" s="26">
        <v>5295641</v>
      </c>
      <c r="M24" s="26">
        <v>5746812</v>
      </c>
      <c r="N24" s="26">
        <v>6425518</v>
      </c>
      <c r="O24" s="26">
        <v>4123586</v>
      </c>
      <c r="P24" s="26">
        <v>3952687</v>
      </c>
      <c r="Q24" s="26">
        <v>3897452</v>
      </c>
      <c r="R24" s="26">
        <v>4035762</v>
      </c>
      <c r="S24" s="26">
        <v>9768542</v>
      </c>
      <c r="T24" s="19">
        <f t="shared" si="3"/>
        <v>65383638</v>
      </c>
    </row>
    <row r="25" spans="1:20" ht="17.25" customHeight="1">
      <c r="A25" s="46">
        <v>30501180419</v>
      </c>
      <c r="B25" s="11" t="s">
        <v>44</v>
      </c>
      <c r="C25" s="19">
        <v>80453314</v>
      </c>
      <c r="D25" s="19"/>
      <c r="E25" s="19">
        <v>20000000</v>
      </c>
      <c r="F25" s="19"/>
      <c r="G25" s="19">
        <f t="shared" si="2"/>
        <v>60453314</v>
      </c>
      <c r="H25" s="26">
        <v>1189000</v>
      </c>
      <c r="I25" s="26">
        <v>1161900</v>
      </c>
      <c r="J25" s="26">
        <v>1095844</v>
      </c>
      <c r="K25" s="26">
        <v>1100524</v>
      </c>
      <c r="L25" s="26">
        <v>1201623</v>
      </c>
      <c r="M25" s="26">
        <v>1295874</v>
      </c>
      <c r="N25" s="26">
        <v>1658746</v>
      </c>
      <c r="O25" s="26">
        <v>1056547</v>
      </c>
      <c r="P25" s="26">
        <v>985463</v>
      </c>
      <c r="Q25" s="26">
        <v>979542</v>
      </c>
      <c r="R25" s="26">
        <v>1356874</v>
      </c>
      <c r="S25" s="26">
        <v>3965841</v>
      </c>
      <c r="T25" s="19">
        <f t="shared" si="3"/>
        <v>17047778</v>
      </c>
    </row>
    <row r="26" spans="1:20" ht="17.25" customHeight="1">
      <c r="A26" s="46">
        <v>30501180420</v>
      </c>
      <c r="B26" s="11" t="s">
        <v>45</v>
      </c>
      <c r="C26" s="19">
        <v>80453314</v>
      </c>
      <c r="D26" s="19"/>
      <c r="E26" s="19"/>
      <c r="F26" s="19"/>
      <c r="G26" s="19">
        <f t="shared" si="2"/>
        <v>80453314</v>
      </c>
      <c r="H26" s="26">
        <v>1189000</v>
      </c>
      <c r="I26" s="26">
        <v>1161900</v>
      </c>
      <c r="J26" s="26">
        <v>1095844</v>
      </c>
      <c r="K26" s="26">
        <v>1100524</v>
      </c>
      <c r="L26" s="26">
        <v>1201623</v>
      </c>
      <c r="M26" s="26">
        <v>1295874</v>
      </c>
      <c r="N26" s="26">
        <v>1658746</v>
      </c>
      <c r="O26" s="26">
        <v>1056547</v>
      </c>
      <c r="P26" s="26">
        <v>985463</v>
      </c>
      <c r="Q26" s="26">
        <v>979542</v>
      </c>
      <c r="R26" s="26">
        <v>1356874</v>
      </c>
      <c r="S26" s="26">
        <v>3965841</v>
      </c>
      <c r="T26" s="19">
        <f t="shared" si="3"/>
        <v>17047778</v>
      </c>
    </row>
    <row r="27" spans="1:20" ht="17.25" customHeight="1">
      <c r="A27" s="46">
        <v>30501180421</v>
      </c>
      <c r="B27" s="11" t="s">
        <v>46</v>
      </c>
      <c r="C27" s="19">
        <v>50000000</v>
      </c>
      <c r="D27" s="19"/>
      <c r="E27" s="19"/>
      <c r="F27" s="19"/>
      <c r="G27" s="19">
        <f t="shared" si="2"/>
        <v>50000000</v>
      </c>
      <c r="H27" s="26">
        <v>2379400</v>
      </c>
      <c r="I27" s="26">
        <v>2326100</v>
      </c>
      <c r="J27" s="26">
        <v>2258741</v>
      </c>
      <c r="K27" s="26">
        <f>K26*2</f>
        <v>2201048</v>
      </c>
      <c r="L27" s="26">
        <f>L26*2</f>
        <v>2403246</v>
      </c>
      <c r="M27" s="26">
        <f>M26*2</f>
        <v>2591748</v>
      </c>
      <c r="N27" s="26">
        <f>N26*2</f>
        <v>3317492</v>
      </c>
      <c r="O27" s="26">
        <f>O26*2</f>
        <v>2113094</v>
      </c>
      <c r="P27" s="26">
        <v>1970926</v>
      </c>
      <c r="Q27" s="26">
        <f>Q26*2</f>
        <v>1959084</v>
      </c>
      <c r="R27" s="26">
        <f>R26*2</f>
        <v>2713748</v>
      </c>
      <c r="S27" s="26">
        <f>S26*2</f>
        <v>7931682</v>
      </c>
      <c r="T27" s="19">
        <f t="shared" si="3"/>
        <v>34166309</v>
      </c>
    </row>
    <row r="28" spans="1:20" ht="17.25" customHeight="1">
      <c r="A28" s="46">
        <v>30501180422</v>
      </c>
      <c r="B28" s="11" t="s">
        <v>47</v>
      </c>
      <c r="C28" s="19">
        <v>824646468</v>
      </c>
      <c r="D28" s="19"/>
      <c r="E28" s="19">
        <f>97300000+18000000+28000000</f>
        <v>143300000</v>
      </c>
      <c r="F28" s="19"/>
      <c r="G28" s="19">
        <f t="shared" si="2"/>
        <v>681346468</v>
      </c>
      <c r="H28" s="26">
        <f>23573058+19541758</f>
        <v>43114816</v>
      </c>
      <c r="I28" s="26">
        <f>23919826+18842126</f>
        <v>42761952</v>
      </c>
      <c r="J28" s="26">
        <v>42568729</v>
      </c>
      <c r="K28" s="26">
        <v>44895258</v>
      </c>
      <c r="L28" s="26">
        <v>45897452</v>
      </c>
      <c r="M28" s="26">
        <v>36458742</v>
      </c>
      <c r="N28" s="26">
        <v>53317492</v>
      </c>
      <c r="O28" s="26">
        <v>42578944</v>
      </c>
      <c r="P28" s="26">
        <v>42035846</v>
      </c>
      <c r="Q28" s="26">
        <v>41987546</v>
      </c>
      <c r="R28" s="26">
        <v>44785983</v>
      </c>
      <c r="S28" s="26">
        <v>114687924</v>
      </c>
      <c r="T28" s="19">
        <f t="shared" si="3"/>
        <v>595090684</v>
      </c>
    </row>
    <row r="29" spans="1:20" ht="17.25" customHeight="1">
      <c r="A29" s="46">
        <v>30502</v>
      </c>
      <c r="B29" s="11" t="s">
        <v>48</v>
      </c>
      <c r="C29" s="14"/>
      <c r="D29" s="14"/>
      <c r="E29" s="14"/>
      <c r="F29" s="14"/>
      <c r="G29" s="1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4"/>
    </row>
    <row r="30" spans="1:20" ht="17.25" customHeight="1">
      <c r="A30" s="11"/>
      <c r="B30" s="11" t="s">
        <v>49</v>
      </c>
      <c r="C30" s="16">
        <f t="shared" ref="C30:G30" si="9">SUM(C31:C36)</f>
        <v>581000000</v>
      </c>
      <c r="D30" s="16">
        <f t="shared" si="9"/>
        <v>0</v>
      </c>
      <c r="E30" s="16">
        <f t="shared" si="9"/>
        <v>0</v>
      </c>
      <c r="F30" s="16">
        <f t="shared" si="9"/>
        <v>0</v>
      </c>
      <c r="G30" s="16">
        <f t="shared" si="9"/>
        <v>581000000</v>
      </c>
      <c r="H30" s="16">
        <f t="shared" ref="H30" si="10">SUM(H31:H36)</f>
        <v>0</v>
      </c>
      <c r="I30" s="16">
        <f>SUM(I31:I36)</f>
        <v>1014361</v>
      </c>
      <c r="J30" s="16">
        <f t="shared" ref="J30:T30" si="11">SUM(J31:J36)</f>
        <v>0</v>
      </c>
      <c r="K30" s="16">
        <f t="shared" si="11"/>
        <v>0</v>
      </c>
      <c r="L30" s="16">
        <f t="shared" si="11"/>
        <v>63138478</v>
      </c>
      <c r="M30" s="16">
        <f t="shared" si="11"/>
        <v>122610000</v>
      </c>
      <c r="N30" s="16">
        <f t="shared" si="11"/>
        <v>11787760</v>
      </c>
      <c r="O30" s="16">
        <f t="shared" si="11"/>
        <v>0</v>
      </c>
      <c r="P30" s="16">
        <f t="shared" si="11"/>
        <v>0</v>
      </c>
      <c r="Q30" s="16">
        <f t="shared" si="11"/>
        <v>5387123</v>
      </c>
      <c r="R30" s="16">
        <f t="shared" si="11"/>
        <v>0</v>
      </c>
      <c r="S30" s="16">
        <f t="shared" si="11"/>
        <v>0</v>
      </c>
      <c r="T30" s="16">
        <f t="shared" si="11"/>
        <v>203937722</v>
      </c>
    </row>
    <row r="31" spans="1:20" ht="17.25" customHeight="1">
      <c r="A31" s="46">
        <v>30502180401</v>
      </c>
      <c r="B31" s="11" t="s">
        <v>50</v>
      </c>
      <c r="C31" s="19">
        <v>150000000</v>
      </c>
      <c r="D31" s="19"/>
      <c r="E31" s="19"/>
      <c r="F31" s="19"/>
      <c r="G31" s="19">
        <f t="shared" ref="G31:G47" si="12">C31+D31-E31+F31</f>
        <v>150000000</v>
      </c>
      <c r="H31" s="18"/>
      <c r="I31" s="18"/>
      <c r="J31" s="18"/>
      <c r="K31" s="18"/>
      <c r="L31" s="18"/>
      <c r="M31" s="18"/>
      <c r="N31" s="18">
        <v>9282810</v>
      </c>
      <c r="O31" s="18"/>
      <c r="P31" s="18"/>
      <c r="Q31" s="18"/>
      <c r="R31" s="18"/>
      <c r="S31" s="18"/>
      <c r="T31" s="19">
        <f t="shared" ref="T31:T47" si="13">H31+I31+J31+K31+L31+M31+N31+O31+P31+Q31+R31+S31</f>
        <v>9282810</v>
      </c>
    </row>
    <row r="32" spans="1:20" ht="17.25" customHeight="1">
      <c r="A32" s="46">
        <v>30502180402</v>
      </c>
      <c r="B32" s="14" t="s">
        <v>51</v>
      </c>
      <c r="C32" s="19">
        <v>260000000</v>
      </c>
      <c r="D32" s="19"/>
      <c r="E32" s="19"/>
      <c r="F32" s="19"/>
      <c r="G32" s="19">
        <f t="shared" si="12"/>
        <v>260000000</v>
      </c>
      <c r="H32" s="18"/>
      <c r="I32" s="18">
        <v>1014361</v>
      </c>
      <c r="J32" s="18"/>
      <c r="K32" s="18">
        <v>0</v>
      </c>
      <c r="L32" s="18">
        <v>63138478</v>
      </c>
      <c r="M32" s="18"/>
      <c r="N32" s="18"/>
      <c r="O32" s="18"/>
      <c r="P32" s="18"/>
      <c r="Q32" s="18"/>
      <c r="R32" s="18"/>
      <c r="S32" s="18"/>
      <c r="T32" s="19">
        <f t="shared" si="13"/>
        <v>64152839</v>
      </c>
    </row>
    <row r="33" spans="1:21" ht="17.25" customHeight="1">
      <c r="A33" s="46">
        <v>30502180403</v>
      </c>
      <c r="B33" s="11" t="s">
        <v>52</v>
      </c>
      <c r="C33" s="19">
        <v>140000000</v>
      </c>
      <c r="D33" s="19"/>
      <c r="E33" s="19"/>
      <c r="F33" s="19"/>
      <c r="G33" s="19">
        <f t="shared" si="12"/>
        <v>140000000</v>
      </c>
      <c r="H33" s="18"/>
      <c r="I33" s="18"/>
      <c r="J33" s="18"/>
      <c r="K33" s="18"/>
      <c r="L33" s="18"/>
      <c r="M33" s="18">
        <v>122610000</v>
      </c>
      <c r="N33" s="18">
        <v>2504950</v>
      </c>
      <c r="O33" s="18"/>
      <c r="P33" s="18"/>
      <c r="Q33" s="18"/>
      <c r="R33" s="18"/>
      <c r="S33" s="18"/>
      <c r="T33" s="19">
        <f t="shared" si="13"/>
        <v>125114950</v>
      </c>
      <c r="U33" s="49"/>
    </row>
    <row r="34" spans="1:21" ht="17.25" customHeight="1">
      <c r="A34" s="46">
        <v>30502180404</v>
      </c>
      <c r="B34" s="11" t="s">
        <v>53</v>
      </c>
      <c r="C34" s="19">
        <v>10000000</v>
      </c>
      <c r="D34" s="19"/>
      <c r="E34" s="19"/>
      <c r="F34" s="19"/>
      <c r="G34" s="19">
        <f t="shared" si="12"/>
        <v>10000000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>
        <f t="shared" si="13"/>
        <v>0</v>
      </c>
      <c r="U34" s="49"/>
    </row>
    <row r="35" spans="1:21" ht="17.25" customHeight="1">
      <c r="A35" s="46">
        <v>30502180405</v>
      </c>
      <c r="B35" s="11" t="s">
        <v>54</v>
      </c>
      <c r="C35" s="105">
        <v>1000000</v>
      </c>
      <c r="D35" s="19"/>
      <c r="E35" s="19"/>
      <c r="F35" s="19"/>
      <c r="G35" s="19">
        <f t="shared" si="12"/>
        <v>1000000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>
        <f t="shared" si="13"/>
        <v>0</v>
      </c>
      <c r="U35" s="49"/>
    </row>
    <row r="36" spans="1:21" ht="17.25" customHeight="1">
      <c r="A36" s="46">
        <v>30502180406</v>
      </c>
      <c r="B36" s="11" t="s">
        <v>55</v>
      </c>
      <c r="C36" s="19">
        <v>20000000</v>
      </c>
      <c r="D36" s="19"/>
      <c r="E36" s="19"/>
      <c r="F36" s="19"/>
      <c r="G36" s="19">
        <f t="shared" si="12"/>
        <v>20000000</v>
      </c>
      <c r="H36" s="18"/>
      <c r="I36" s="18"/>
      <c r="J36" s="18"/>
      <c r="K36" s="18"/>
      <c r="L36" s="18"/>
      <c r="M36" s="18"/>
      <c r="N36" s="18"/>
      <c r="O36" s="18"/>
      <c r="P36" s="18"/>
      <c r="Q36" s="18">
        <v>5387123</v>
      </c>
      <c r="R36" s="18"/>
      <c r="S36" s="18"/>
      <c r="T36" s="19">
        <f t="shared" si="13"/>
        <v>5387123</v>
      </c>
      <c r="U36" s="49"/>
    </row>
    <row r="37" spans="1:21" ht="17.25" customHeight="1">
      <c r="A37" s="11"/>
      <c r="B37" s="11" t="s">
        <v>56</v>
      </c>
      <c r="C37" s="16">
        <f t="shared" ref="C37:G37" si="14">SUM(C38:C47)</f>
        <v>679042533</v>
      </c>
      <c r="D37" s="16">
        <f t="shared" si="14"/>
        <v>7600000</v>
      </c>
      <c r="E37" s="16">
        <f t="shared" si="14"/>
        <v>20000000</v>
      </c>
      <c r="F37" s="16">
        <f t="shared" si="14"/>
        <v>0</v>
      </c>
      <c r="G37" s="16">
        <f t="shared" si="14"/>
        <v>666642533</v>
      </c>
      <c r="H37" s="16">
        <f t="shared" ref="H37:T37" si="15">SUM(H38:H47)</f>
        <v>16256046</v>
      </c>
      <c r="I37" s="16">
        <f t="shared" si="15"/>
        <v>130445450</v>
      </c>
      <c r="J37" s="16">
        <f t="shared" si="15"/>
        <v>17734299</v>
      </c>
      <c r="K37" s="16">
        <f t="shared" si="15"/>
        <v>22511419</v>
      </c>
      <c r="L37" s="16">
        <f t="shared" si="15"/>
        <v>13216804</v>
      </c>
      <c r="M37" s="16">
        <f t="shared" si="15"/>
        <v>15628340</v>
      </c>
      <c r="N37" s="16">
        <f t="shared" si="15"/>
        <v>20941317</v>
      </c>
      <c r="O37" s="16">
        <f t="shared" si="15"/>
        <v>18800721</v>
      </c>
      <c r="P37" s="16">
        <f t="shared" si="15"/>
        <v>12415801</v>
      </c>
      <c r="Q37" s="16">
        <f t="shared" si="15"/>
        <v>22208246</v>
      </c>
      <c r="R37" s="16">
        <f t="shared" si="15"/>
        <v>56611906</v>
      </c>
      <c r="S37" s="16">
        <f t="shared" si="15"/>
        <v>20079429</v>
      </c>
      <c r="T37" s="16">
        <f t="shared" si="15"/>
        <v>366849778</v>
      </c>
      <c r="U37" s="49"/>
    </row>
    <row r="38" spans="1:21" ht="17.25" customHeight="1">
      <c r="A38" s="46">
        <v>30502180407</v>
      </c>
      <c r="B38" s="11" t="s">
        <v>57</v>
      </c>
      <c r="C38" s="20">
        <v>69000000</v>
      </c>
      <c r="D38" s="20"/>
      <c r="E38" s="20"/>
      <c r="F38" s="19"/>
      <c r="G38" s="19">
        <f t="shared" si="12"/>
        <v>69000000</v>
      </c>
      <c r="H38" s="18">
        <v>602136</v>
      </c>
      <c r="I38" s="18">
        <v>618189</v>
      </c>
      <c r="J38" s="18">
        <v>617690</v>
      </c>
      <c r="K38" s="18">
        <v>617511</v>
      </c>
      <c r="L38" s="18">
        <v>617654</v>
      </c>
      <c r="M38" s="18">
        <v>497691</v>
      </c>
      <c r="N38" s="18">
        <v>617297</v>
      </c>
      <c r="O38" s="18">
        <v>617475</v>
      </c>
      <c r="P38" s="18">
        <v>617190</v>
      </c>
      <c r="Q38" s="18">
        <v>617440</v>
      </c>
      <c r="R38" s="18">
        <v>617690</v>
      </c>
      <c r="S38" s="18">
        <v>642525</v>
      </c>
      <c r="T38" s="19">
        <f t="shared" si="13"/>
        <v>7300488</v>
      </c>
      <c r="U38" s="49"/>
    </row>
    <row r="39" spans="1:21" ht="17.25" customHeight="1">
      <c r="A39" s="46">
        <v>30502180408</v>
      </c>
      <c r="B39" s="11" t="s">
        <v>58</v>
      </c>
      <c r="C39" s="20">
        <v>150000000</v>
      </c>
      <c r="D39" s="20"/>
      <c r="E39" s="20"/>
      <c r="F39" s="19"/>
      <c r="G39" s="19">
        <f t="shared" si="12"/>
        <v>150000000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v>20650070</v>
      </c>
      <c r="S39" s="18"/>
      <c r="T39" s="19">
        <f t="shared" si="13"/>
        <v>20650070</v>
      </c>
      <c r="U39" s="49"/>
    </row>
    <row r="40" spans="1:21" ht="17.25" customHeight="1">
      <c r="A40" s="46">
        <v>30502180409</v>
      </c>
      <c r="B40" s="11" t="s">
        <v>59</v>
      </c>
      <c r="C40" s="20">
        <v>46000000</v>
      </c>
      <c r="D40" s="20">
        <v>4500000</v>
      </c>
      <c r="E40" s="20"/>
      <c r="F40" s="19"/>
      <c r="G40" s="19">
        <f t="shared" si="12"/>
        <v>50500000</v>
      </c>
      <c r="H40" s="18"/>
      <c r="I40" s="18">
        <v>20056482</v>
      </c>
      <c r="J40" s="18"/>
      <c r="K40" s="18"/>
      <c r="L40" s="18"/>
      <c r="M40" s="18"/>
      <c r="N40" s="18"/>
      <c r="O40" s="18">
        <v>7343771</v>
      </c>
      <c r="P40" s="18"/>
      <c r="Q40" s="18"/>
      <c r="R40" s="18">
        <v>22991147</v>
      </c>
      <c r="S40" s="18"/>
      <c r="T40" s="19">
        <f t="shared" si="13"/>
        <v>50391400</v>
      </c>
      <c r="U40" s="49"/>
    </row>
    <row r="41" spans="1:21" ht="17.25" customHeight="1">
      <c r="A41" s="46">
        <v>30502180410</v>
      </c>
      <c r="B41" s="11" t="s">
        <v>60</v>
      </c>
      <c r="C41" s="20">
        <v>170268033</v>
      </c>
      <c r="D41" s="20"/>
      <c r="E41" s="20">
        <v>20000000</v>
      </c>
      <c r="F41" s="19"/>
      <c r="G41" s="19">
        <f t="shared" si="12"/>
        <v>150268033</v>
      </c>
      <c r="H41" s="18">
        <v>15653910</v>
      </c>
      <c r="I41" s="18">
        <v>10996279</v>
      </c>
      <c r="J41" s="18">
        <v>14442889</v>
      </c>
      <c r="K41" s="18">
        <v>11355963</v>
      </c>
      <c r="L41" s="18">
        <v>10856336</v>
      </c>
      <c r="M41" s="18">
        <v>11913436</v>
      </c>
      <c r="N41" s="18">
        <v>11112416</v>
      </c>
      <c r="O41" s="18">
        <v>10303025</v>
      </c>
      <c r="P41" s="18">
        <v>11798611</v>
      </c>
      <c r="Q41" s="18">
        <v>11947994</v>
      </c>
      <c r="R41" s="18">
        <v>11318602</v>
      </c>
      <c r="S41" s="18">
        <v>11250057</v>
      </c>
      <c r="T41" s="19">
        <f t="shared" si="13"/>
        <v>142949518</v>
      </c>
      <c r="U41" s="49"/>
    </row>
    <row r="42" spans="1:21" ht="17.25" customHeight="1">
      <c r="A42" s="46">
        <v>30502180411</v>
      </c>
      <c r="B42" s="11" t="s">
        <v>61</v>
      </c>
      <c r="C42" s="20">
        <v>30000000</v>
      </c>
      <c r="D42" s="20"/>
      <c r="E42" s="20"/>
      <c r="F42" s="19"/>
      <c r="G42" s="19">
        <f t="shared" si="12"/>
        <v>30000000</v>
      </c>
      <c r="H42" s="18"/>
      <c r="I42" s="18"/>
      <c r="J42" s="18">
        <v>2673720</v>
      </c>
      <c r="K42" s="18">
        <v>537945</v>
      </c>
      <c r="L42" s="18">
        <v>1742814</v>
      </c>
      <c r="M42" s="18">
        <v>3217213</v>
      </c>
      <c r="N42" s="18">
        <v>3811604</v>
      </c>
      <c r="O42" s="18">
        <v>536450</v>
      </c>
      <c r="P42" s="18"/>
      <c r="Q42" s="18">
        <v>3877912</v>
      </c>
      <c r="R42" s="18">
        <v>1034397</v>
      </c>
      <c r="S42" s="18">
        <v>703930</v>
      </c>
      <c r="T42" s="19">
        <f t="shared" si="13"/>
        <v>18135985</v>
      </c>
      <c r="U42" s="49"/>
    </row>
    <row r="43" spans="1:21" ht="17.25" customHeight="1">
      <c r="A43" s="46">
        <v>30502180412</v>
      </c>
      <c r="B43" s="11" t="s">
        <v>62</v>
      </c>
      <c r="C43" s="20">
        <v>104774500</v>
      </c>
      <c r="D43" s="20">
        <v>3000000</v>
      </c>
      <c r="E43" s="20"/>
      <c r="F43" s="19"/>
      <c r="G43" s="19">
        <f t="shared" si="12"/>
        <v>107774500</v>
      </c>
      <c r="H43" s="18"/>
      <c r="I43" s="18">
        <v>98774500</v>
      </c>
      <c r="J43" s="18"/>
      <c r="K43" s="18"/>
      <c r="L43" s="18"/>
      <c r="M43" s="18"/>
      <c r="N43" s="18"/>
      <c r="O43" s="18"/>
      <c r="P43" s="18"/>
      <c r="Q43" s="18"/>
      <c r="R43" s="18"/>
      <c r="S43" s="18">
        <v>7482917</v>
      </c>
      <c r="T43" s="19">
        <f t="shared" si="13"/>
        <v>106257417</v>
      </c>
      <c r="U43" s="49"/>
    </row>
    <row r="44" spans="1:21" ht="17.25" customHeight="1">
      <c r="A44" s="46">
        <v>30502180413</v>
      </c>
      <c r="B44" s="11" t="s">
        <v>63</v>
      </c>
      <c r="C44" s="20">
        <v>18000000</v>
      </c>
      <c r="D44" s="20"/>
      <c r="E44" s="20"/>
      <c r="F44" s="19"/>
      <c r="G44" s="19">
        <f t="shared" si="12"/>
        <v>18000000</v>
      </c>
      <c r="H44" s="18"/>
      <c r="I44" s="18"/>
      <c r="J44" s="18"/>
      <c r="K44" s="18">
        <v>10000000</v>
      </c>
      <c r="L44" s="18">
        <v>0</v>
      </c>
      <c r="M44" s="18"/>
      <c r="N44" s="18"/>
      <c r="O44" s="18"/>
      <c r="P44" s="18"/>
      <c r="Q44" s="18"/>
      <c r="R44" s="18"/>
      <c r="S44" s="18"/>
      <c r="T44" s="19">
        <f t="shared" si="13"/>
        <v>10000000</v>
      </c>
      <c r="U44" s="49"/>
    </row>
    <row r="45" spans="1:21" ht="17.25" customHeight="1">
      <c r="A45" s="46">
        <v>30502180414</v>
      </c>
      <c r="B45" s="11" t="s">
        <v>64</v>
      </c>
      <c r="C45" s="20">
        <v>40000000</v>
      </c>
      <c r="D45" s="20"/>
      <c r="E45" s="20"/>
      <c r="F45" s="19"/>
      <c r="G45" s="19">
        <f t="shared" si="12"/>
        <v>40000000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>
        <f t="shared" si="13"/>
        <v>0</v>
      </c>
      <c r="U45" s="49"/>
    </row>
    <row r="46" spans="1:21" ht="17.25" customHeight="1">
      <c r="A46" s="46">
        <v>30502180415</v>
      </c>
      <c r="B46" s="14" t="s">
        <v>86</v>
      </c>
      <c r="C46" s="20">
        <v>50000000</v>
      </c>
      <c r="D46" s="20"/>
      <c r="E46" s="20"/>
      <c r="F46" s="19"/>
      <c r="G46" s="19">
        <f t="shared" si="12"/>
        <v>50000000</v>
      </c>
      <c r="H46" s="18"/>
      <c r="I46" s="18"/>
      <c r="J46" s="18"/>
      <c r="K46" s="18"/>
      <c r="L46" s="18"/>
      <c r="M46" s="18"/>
      <c r="N46" s="18">
        <v>5400000</v>
      </c>
      <c r="O46" s="18"/>
      <c r="P46" s="18"/>
      <c r="Q46" s="18">
        <v>4740000</v>
      </c>
      <c r="R46" s="18"/>
      <c r="S46" s="18"/>
      <c r="T46" s="19">
        <f t="shared" si="13"/>
        <v>10140000</v>
      </c>
      <c r="U46" s="49"/>
    </row>
    <row r="47" spans="1:21" ht="17.25" customHeight="1">
      <c r="A47" s="46">
        <v>30502180416</v>
      </c>
      <c r="B47" s="11" t="s">
        <v>65</v>
      </c>
      <c r="C47" s="106">
        <v>1000000</v>
      </c>
      <c r="D47" s="20">
        <v>100000</v>
      </c>
      <c r="E47" s="20"/>
      <c r="F47" s="19"/>
      <c r="G47" s="19">
        <f t="shared" si="12"/>
        <v>1100000</v>
      </c>
      <c r="H47" s="18"/>
      <c r="I47" s="18"/>
      <c r="J47" s="18"/>
      <c r="K47" s="18"/>
      <c r="L47" s="18"/>
      <c r="M47" s="18"/>
      <c r="N47" s="18"/>
      <c r="O47" s="18"/>
      <c r="P47" s="18"/>
      <c r="Q47" s="18">
        <v>1024900</v>
      </c>
      <c r="R47" s="18"/>
      <c r="S47" s="18"/>
      <c r="T47" s="19">
        <f t="shared" si="13"/>
        <v>1024900</v>
      </c>
      <c r="U47" s="49"/>
    </row>
    <row r="48" spans="1:21" ht="17.25" customHeight="1">
      <c r="A48" s="11"/>
      <c r="B48" s="11" t="s">
        <v>66</v>
      </c>
      <c r="C48" s="20"/>
      <c r="D48" s="20"/>
      <c r="E48" s="20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49"/>
    </row>
    <row r="49" spans="1:21" ht="17.25" customHeight="1">
      <c r="A49" s="11"/>
      <c r="B49" s="11" t="s">
        <v>67</v>
      </c>
      <c r="C49" s="16">
        <f t="shared" ref="C49:G49" si="16">SUM(C50:C53)</f>
        <v>723000000</v>
      </c>
      <c r="D49" s="16">
        <f t="shared" si="16"/>
        <v>0</v>
      </c>
      <c r="E49" s="16">
        <f t="shared" si="16"/>
        <v>0</v>
      </c>
      <c r="F49" s="16">
        <f t="shared" si="16"/>
        <v>0</v>
      </c>
      <c r="G49" s="16">
        <f t="shared" si="16"/>
        <v>723000000</v>
      </c>
      <c r="H49" s="16">
        <f>SUM(H50:H53)</f>
        <v>31153460</v>
      </c>
      <c r="I49" s="16">
        <f t="shared" ref="I49:L49" si="17">SUM(I50:I53)</f>
        <v>143513572</v>
      </c>
      <c r="J49" s="16">
        <f t="shared" si="17"/>
        <v>78809745</v>
      </c>
      <c r="K49" s="16">
        <f t="shared" si="17"/>
        <v>17702972</v>
      </c>
      <c r="L49" s="16">
        <f t="shared" si="17"/>
        <v>72986407</v>
      </c>
      <c r="M49" s="16">
        <f t="shared" ref="M49:T49" si="18">SUM(M50:M53)</f>
        <v>35134282</v>
      </c>
      <c r="N49" s="16">
        <f t="shared" si="18"/>
        <v>22058266</v>
      </c>
      <c r="O49" s="16">
        <f t="shared" si="18"/>
        <v>5504998</v>
      </c>
      <c r="P49" s="16">
        <f t="shared" si="18"/>
        <v>5504998</v>
      </c>
      <c r="Q49" s="16">
        <f t="shared" si="18"/>
        <v>25504998</v>
      </c>
      <c r="R49" s="16">
        <f t="shared" si="18"/>
        <v>5504998</v>
      </c>
      <c r="S49" s="16">
        <f t="shared" si="18"/>
        <v>28055957</v>
      </c>
      <c r="T49" s="16">
        <f t="shared" si="18"/>
        <v>471434653</v>
      </c>
      <c r="U49" s="49"/>
    </row>
    <row r="50" spans="1:21" ht="17.25" customHeight="1">
      <c r="A50" s="46">
        <v>30503180401</v>
      </c>
      <c r="B50" s="101" t="s">
        <v>68</v>
      </c>
      <c r="C50" s="102">
        <v>100000000</v>
      </c>
      <c r="D50" s="20"/>
      <c r="E50" s="20"/>
      <c r="F50" s="19"/>
      <c r="G50" s="19">
        <f t="shared" ref="G50:G57" si="19">C50+D50-E50+F50</f>
        <v>100000000</v>
      </c>
      <c r="H50" s="18">
        <v>5504998</v>
      </c>
      <c r="I50" s="18">
        <v>5504998</v>
      </c>
      <c r="J50" s="18">
        <v>9029595</v>
      </c>
      <c r="K50" s="18">
        <v>6242715</v>
      </c>
      <c r="L50" s="18">
        <v>5504998</v>
      </c>
      <c r="M50" s="18">
        <v>11009996</v>
      </c>
      <c r="N50" s="18">
        <v>5504998</v>
      </c>
      <c r="O50" s="18">
        <v>5504998</v>
      </c>
      <c r="P50" s="18">
        <v>5504998</v>
      </c>
      <c r="Q50" s="18">
        <v>5504998</v>
      </c>
      <c r="R50" s="18">
        <v>5504998</v>
      </c>
      <c r="S50" s="18">
        <v>11009996</v>
      </c>
      <c r="T50" s="19">
        <f t="shared" ref="T50:T57" si="20">H50+I50+J50+K50+L50+M50+N50+O50+P50+Q50+R50+S50</f>
        <v>81332286</v>
      </c>
      <c r="U50" s="49"/>
    </row>
    <row r="51" spans="1:21" ht="17.25" customHeight="1">
      <c r="A51" s="46">
        <v>30503180402</v>
      </c>
      <c r="B51" s="101" t="s">
        <v>69</v>
      </c>
      <c r="C51" s="104">
        <v>1000000</v>
      </c>
      <c r="D51" s="20"/>
      <c r="E51" s="20"/>
      <c r="F51" s="19"/>
      <c r="G51" s="19">
        <f t="shared" si="19"/>
        <v>1000000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>
        <f t="shared" si="20"/>
        <v>0</v>
      </c>
      <c r="U51" s="49"/>
    </row>
    <row r="52" spans="1:21" ht="17.25" customHeight="1">
      <c r="A52" s="46">
        <v>30503180403</v>
      </c>
      <c r="B52" s="101" t="s">
        <v>70</v>
      </c>
      <c r="C52" s="102">
        <v>600000000</v>
      </c>
      <c r="D52" s="20"/>
      <c r="E52" s="20"/>
      <c r="F52" s="19"/>
      <c r="G52" s="19">
        <f t="shared" si="19"/>
        <v>600000000</v>
      </c>
      <c r="H52" s="18">
        <v>5000000</v>
      </c>
      <c r="I52" s="18">
        <v>138008574</v>
      </c>
      <c r="J52" s="18">
        <v>69780150</v>
      </c>
      <c r="K52" s="18">
        <v>11460257</v>
      </c>
      <c r="L52" s="18">
        <v>67481409</v>
      </c>
      <c r="M52" s="18">
        <v>24124286</v>
      </c>
      <c r="N52" s="18">
        <v>16449530</v>
      </c>
      <c r="O52" s="18"/>
      <c r="P52" s="18"/>
      <c r="Q52" s="18">
        <v>20000000</v>
      </c>
      <c r="R52" s="18"/>
      <c r="S52" s="18">
        <v>17045961</v>
      </c>
      <c r="T52" s="19">
        <f t="shared" si="20"/>
        <v>369350167</v>
      </c>
      <c r="U52" s="49"/>
    </row>
    <row r="53" spans="1:21" ht="17.25" customHeight="1">
      <c r="A53" s="46">
        <v>30503180404</v>
      </c>
      <c r="B53" s="101" t="s">
        <v>71</v>
      </c>
      <c r="C53" s="102">
        <v>22000000</v>
      </c>
      <c r="D53" s="20"/>
      <c r="E53" s="20"/>
      <c r="F53" s="19"/>
      <c r="G53" s="19">
        <f t="shared" si="19"/>
        <v>22000000</v>
      </c>
      <c r="H53" s="18">
        <v>20648462</v>
      </c>
      <c r="I53" s="18"/>
      <c r="J53" s="18"/>
      <c r="K53" s="18"/>
      <c r="L53" s="18"/>
      <c r="M53" s="18"/>
      <c r="N53" s="18">
        <v>103738</v>
      </c>
      <c r="O53" s="18"/>
      <c r="P53" s="18"/>
      <c r="Q53" s="18"/>
      <c r="R53" s="18"/>
      <c r="S53" s="18"/>
      <c r="T53" s="19">
        <f t="shared" si="20"/>
        <v>20752200</v>
      </c>
      <c r="U53" s="49"/>
    </row>
    <row r="54" spans="1:21" ht="17.25" customHeight="1">
      <c r="A54" s="11"/>
      <c r="B54" s="101" t="s">
        <v>72</v>
      </c>
      <c r="C54" s="103">
        <f>SUM(C55:C57)</f>
        <v>275000000</v>
      </c>
      <c r="D54" s="20"/>
      <c r="E54" s="20"/>
      <c r="F54" s="20">
        <f t="shared" ref="F54:T54" si="21">SUM(F55:F57)</f>
        <v>0</v>
      </c>
      <c r="G54" s="19">
        <f t="shared" si="19"/>
        <v>275000000</v>
      </c>
      <c r="H54" s="27">
        <f t="shared" si="21"/>
        <v>1527860</v>
      </c>
      <c r="I54" s="27">
        <f t="shared" si="21"/>
        <v>1235232</v>
      </c>
      <c r="J54" s="27">
        <f t="shared" si="21"/>
        <v>4730796</v>
      </c>
      <c r="K54" s="27">
        <f t="shared" si="21"/>
        <v>34036587</v>
      </c>
      <c r="L54" s="27">
        <f t="shared" si="21"/>
        <v>9121334</v>
      </c>
      <c r="M54" s="27">
        <f t="shared" si="21"/>
        <v>17815247</v>
      </c>
      <c r="N54" s="27">
        <f t="shared" si="21"/>
        <v>634571</v>
      </c>
      <c r="O54" s="27">
        <f t="shared" si="21"/>
        <v>45628965</v>
      </c>
      <c r="P54" s="27">
        <f t="shared" si="21"/>
        <v>8384557</v>
      </c>
      <c r="Q54" s="27">
        <f t="shared" si="21"/>
        <v>3482292</v>
      </c>
      <c r="R54" s="27">
        <f t="shared" si="21"/>
        <v>14300000</v>
      </c>
      <c r="S54" s="27">
        <f t="shared" si="21"/>
        <v>9608698</v>
      </c>
      <c r="T54" s="27">
        <f t="shared" si="21"/>
        <v>150506139</v>
      </c>
      <c r="U54" s="49"/>
    </row>
    <row r="55" spans="1:21" ht="17.25" customHeight="1">
      <c r="A55" s="46">
        <v>30503180405</v>
      </c>
      <c r="B55" s="101" t="s">
        <v>73</v>
      </c>
      <c r="C55" s="102">
        <v>30000000</v>
      </c>
      <c r="D55" s="20"/>
      <c r="E55" s="20"/>
      <c r="F55" s="19"/>
      <c r="G55" s="19">
        <f t="shared" si="19"/>
        <v>30000000</v>
      </c>
      <c r="H55" s="18"/>
      <c r="I55" s="18"/>
      <c r="J55" s="18"/>
      <c r="K55" s="18"/>
      <c r="L55" s="18"/>
      <c r="M55" s="18"/>
      <c r="N55" s="18"/>
      <c r="O55" s="18">
        <v>14800000</v>
      </c>
      <c r="P55" s="18"/>
      <c r="Q55" s="18"/>
      <c r="R55" s="18"/>
      <c r="S55" s="18"/>
      <c r="T55" s="19">
        <f t="shared" si="20"/>
        <v>14800000</v>
      </c>
      <c r="U55" s="49"/>
    </row>
    <row r="56" spans="1:21" ht="17.25" customHeight="1">
      <c r="A56" s="46">
        <v>30503180406</v>
      </c>
      <c r="B56" s="101" t="s">
        <v>74</v>
      </c>
      <c r="C56" s="102">
        <v>85000000</v>
      </c>
      <c r="D56" s="20"/>
      <c r="E56" s="20"/>
      <c r="F56" s="19"/>
      <c r="G56" s="19">
        <f t="shared" si="19"/>
        <v>85000000</v>
      </c>
      <c r="H56" s="18"/>
      <c r="I56" s="18"/>
      <c r="J56" s="18"/>
      <c r="K56" s="18">
        <v>0</v>
      </c>
      <c r="L56" s="18">
        <v>4380000</v>
      </c>
      <c r="M56" s="18"/>
      <c r="N56" s="18"/>
      <c r="O56" s="18">
        <v>9568327</v>
      </c>
      <c r="P56" s="18"/>
      <c r="Q56" s="18"/>
      <c r="R56" s="18"/>
      <c r="S56" s="18">
        <v>737717</v>
      </c>
      <c r="T56" s="19">
        <f t="shared" si="20"/>
        <v>14686044</v>
      </c>
      <c r="U56" s="49"/>
    </row>
    <row r="57" spans="1:21" ht="17.25" customHeight="1">
      <c r="A57" s="46">
        <v>30503180407</v>
      </c>
      <c r="B57" s="101" t="s">
        <v>75</v>
      </c>
      <c r="C57" s="102">
        <v>160000000</v>
      </c>
      <c r="D57" s="20"/>
      <c r="E57" s="20"/>
      <c r="F57" s="19"/>
      <c r="G57" s="19">
        <f t="shared" si="19"/>
        <v>160000000</v>
      </c>
      <c r="H57" s="18">
        <v>1527860</v>
      </c>
      <c r="I57" s="18">
        <v>1235232</v>
      </c>
      <c r="J57" s="18">
        <v>4730796</v>
      </c>
      <c r="K57" s="18">
        <v>34036587</v>
      </c>
      <c r="L57" s="18">
        <v>4741334</v>
      </c>
      <c r="M57" s="18">
        <v>17815247</v>
      </c>
      <c r="N57" s="18">
        <v>634571</v>
      </c>
      <c r="O57" s="18">
        <v>21260638</v>
      </c>
      <c r="P57" s="18">
        <v>8384557</v>
      </c>
      <c r="Q57" s="18">
        <v>3482292</v>
      </c>
      <c r="R57" s="18">
        <v>14300000</v>
      </c>
      <c r="S57" s="18">
        <v>8870981</v>
      </c>
      <c r="T57" s="19">
        <f t="shared" si="20"/>
        <v>121020095</v>
      </c>
      <c r="U57" s="49"/>
    </row>
    <row r="58" spans="1:21" ht="17.25" customHeight="1">
      <c r="A58" s="11"/>
      <c r="B58" s="22" t="s">
        <v>76</v>
      </c>
      <c r="C58" s="21">
        <f>C5+C17+C22+C30+C37+C49+C54</f>
        <v>8962000000</v>
      </c>
      <c r="D58" s="21">
        <f t="shared" ref="D58:G58" si="22">D5+D17+D22+D30+D37+D49+D54</f>
        <v>278300000</v>
      </c>
      <c r="E58" s="21">
        <f t="shared" si="22"/>
        <v>278300000</v>
      </c>
      <c r="F58" s="21">
        <f t="shared" si="22"/>
        <v>0</v>
      </c>
      <c r="G58" s="21">
        <f t="shared" si="22"/>
        <v>8962000000</v>
      </c>
      <c r="H58" s="21">
        <f t="shared" ref="H58:T58" si="23">H5+H17+H22+H30+H37+H49+H54</f>
        <v>460727747</v>
      </c>
      <c r="I58" s="21">
        <f t="shared" si="23"/>
        <v>677525668</v>
      </c>
      <c r="J58" s="21">
        <f t="shared" si="23"/>
        <v>648390493</v>
      </c>
      <c r="K58" s="21">
        <f t="shared" si="23"/>
        <v>500857683</v>
      </c>
      <c r="L58" s="21">
        <f t="shared" si="23"/>
        <v>590434042</v>
      </c>
      <c r="M58" s="21">
        <f t="shared" si="23"/>
        <v>634767876</v>
      </c>
      <c r="N58" s="21">
        <f t="shared" si="23"/>
        <v>756950419</v>
      </c>
      <c r="O58" s="21">
        <f t="shared" si="23"/>
        <v>461597612</v>
      </c>
      <c r="P58" s="21">
        <f t="shared" si="23"/>
        <v>460579570</v>
      </c>
      <c r="Q58" s="21">
        <f t="shared" si="23"/>
        <v>408577655</v>
      </c>
      <c r="R58" s="21">
        <f t="shared" si="23"/>
        <v>459620888</v>
      </c>
      <c r="S58" s="21">
        <f t="shared" si="23"/>
        <v>958151380</v>
      </c>
      <c r="T58" s="21">
        <f t="shared" si="23"/>
        <v>7018181033</v>
      </c>
      <c r="U58" s="49"/>
    </row>
    <row r="59" spans="1:21" ht="17.25" customHeight="1">
      <c r="A59" s="11"/>
      <c r="B59" s="15" t="s">
        <v>11</v>
      </c>
      <c r="C59" s="19">
        <v>0</v>
      </c>
      <c r="D59" s="19"/>
      <c r="E59" s="1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49"/>
    </row>
    <row r="60" spans="1:21" ht="17.25" customHeight="1">
      <c r="A60" s="46">
        <v>305061804</v>
      </c>
      <c r="B60" s="11" t="s">
        <v>77</v>
      </c>
      <c r="C60" s="19">
        <v>0</v>
      </c>
      <c r="D60" s="19"/>
      <c r="E60" s="19"/>
      <c r="F60" s="19"/>
      <c r="G60" s="19">
        <f t="shared" ref="G60:G62" si="24">C60+D60-E60+F60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>
        <f t="shared" ref="T60:T62" si="25">H60+I60+J60+K60+L60+M60+N60+O60+P60+Q60+R60+S60</f>
        <v>0</v>
      </c>
      <c r="U60" s="49"/>
    </row>
    <row r="61" spans="1:21" ht="17.25" customHeight="1">
      <c r="A61" s="46">
        <v>30506180401</v>
      </c>
      <c r="B61" s="11" t="s">
        <v>78</v>
      </c>
      <c r="C61" s="19">
        <v>0</v>
      </c>
      <c r="D61" s="19"/>
      <c r="E61" s="19"/>
      <c r="F61" s="19"/>
      <c r="G61" s="19">
        <f t="shared" si="24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>
        <f t="shared" si="25"/>
        <v>0</v>
      </c>
      <c r="U61" s="49"/>
    </row>
    <row r="62" spans="1:21" ht="17.25" customHeight="1">
      <c r="A62" s="46">
        <v>30506180402</v>
      </c>
      <c r="B62" s="11" t="s">
        <v>79</v>
      </c>
      <c r="C62" s="19">
        <v>0</v>
      </c>
      <c r="D62" s="19"/>
      <c r="E62" s="19"/>
      <c r="F62" s="19"/>
      <c r="G62" s="19">
        <f t="shared" si="24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>
        <f t="shared" si="25"/>
        <v>0</v>
      </c>
      <c r="U62" s="49"/>
    </row>
    <row r="63" spans="1:21" ht="17.25" customHeight="1">
      <c r="A63" s="11"/>
      <c r="B63" s="22" t="s">
        <v>80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9"/>
    </row>
    <row r="64" spans="1:21" ht="17.25" customHeight="1">
      <c r="A64" s="11"/>
      <c r="B64" s="15" t="s">
        <v>81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49"/>
    </row>
    <row r="65" spans="1:21" ht="17.25" customHeight="1">
      <c r="A65" s="46">
        <v>30507180401</v>
      </c>
      <c r="B65" s="11" t="s">
        <v>82</v>
      </c>
      <c r="C65" s="4">
        <v>400000000</v>
      </c>
      <c r="D65" s="4"/>
      <c r="E65" s="4"/>
      <c r="F65" s="14"/>
      <c r="G65" s="19">
        <f t="shared" ref="G65:G69" si="26">C65+D65-E65+F65</f>
        <v>400000000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9">
        <f t="shared" ref="T65:T69" si="27">H65+I65+J65+K65+L65+M65+N65+O65+P65+Q65+R65+S65</f>
        <v>0</v>
      </c>
      <c r="U65" s="49"/>
    </row>
    <row r="66" spans="1:21" ht="17.25" customHeight="1">
      <c r="A66" s="46">
        <v>30507180402</v>
      </c>
      <c r="B66" s="11" t="s">
        <v>15</v>
      </c>
      <c r="C66" s="4">
        <v>881700000</v>
      </c>
      <c r="D66" s="4"/>
      <c r="E66" s="4"/>
      <c r="F66" s="14"/>
      <c r="G66" s="19">
        <f t="shared" si="26"/>
        <v>881700000</v>
      </c>
      <c r="H66" s="4"/>
      <c r="I66" s="4"/>
      <c r="J66" s="4">
        <v>7800000</v>
      </c>
      <c r="K66" s="4">
        <v>22500000</v>
      </c>
      <c r="L66" s="4">
        <v>0</v>
      </c>
      <c r="M66" s="18">
        <v>7800000</v>
      </c>
      <c r="N66" s="18">
        <v>39139999</v>
      </c>
      <c r="O66" s="18">
        <v>85758918</v>
      </c>
      <c r="P66" s="18"/>
      <c r="Q66" s="18">
        <v>20001000</v>
      </c>
      <c r="R66" s="18"/>
      <c r="S66" s="18"/>
      <c r="T66" s="19">
        <f t="shared" si="27"/>
        <v>182999917</v>
      </c>
      <c r="U66" s="49"/>
    </row>
    <row r="67" spans="1:21" ht="17.25" customHeight="1">
      <c r="A67" s="46">
        <v>30507180403</v>
      </c>
      <c r="B67" s="11" t="s">
        <v>16</v>
      </c>
      <c r="C67" s="4">
        <v>370000000</v>
      </c>
      <c r="D67" s="4"/>
      <c r="E67" s="4"/>
      <c r="F67" s="14"/>
      <c r="G67" s="19">
        <f t="shared" si="26"/>
        <v>370000000</v>
      </c>
      <c r="H67" s="4"/>
      <c r="I67" s="4"/>
      <c r="J67" s="4"/>
      <c r="K67" s="4"/>
      <c r="L67" s="4"/>
      <c r="M67" s="18"/>
      <c r="N67" s="18"/>
      <c r="O67" s="18"/>
      <c r="P67" s="18"/>
      <c r="Q67" s="18"/>
      <c r="R67" s="18"/>
      <c r="S67" s="18"/>
      <c r="T67" s="19">
        <f t="shared" si="27"/>
        <v>0</v>
      </c>
      <c r="U67" s="49"/>
    </row>
    <row r="68" spans="1:21" ht="17.25" customHeight="1">
      <c r="A68" s="46">
        <v>30507180404</v>
      </c>
      <c r="B68" s="11" t="s">
        <v>12</v>
      </c>
      <c r="C68" s="4">
        <v>1082500000</v>
      </c>
      <c r="D68" s="4"/>
      <c r="E68" s="4"/>
      <c r="F68" s="14"/>
      <c r="G68" s="19">
        <f t="shared" si="26"/>
        <v>1082500000</v>
      </c>
      <c r="H68" s="4"/>
      <c r="I68" s="4"/>
      <c r="J68" s="4"/>
      <c r="K68" s="4"/>
      <c r="L68" s="4"/>
      <c r="M68" s="18"/>
      <c r="N68" s="18">
        <v>6491450</v>
      </c>
      <c r="O68" s="18"/>
      <c r="P68" s="18">
        <v>10620750</v>
      </c>
      <c r="Q68" s="18"/>
      <c r="R68" s="18"/>
      <c r="S68" s="18"/>
      <c r="T68" s="19">
        <f t="shared" si="27"/>
        <v>17112200</v>
      </c>
      <c r="U68" s="49"/>
    </row>
    <row r="69" spans="1:21" ht="17.25" customHeight="1">
      <c r="A69" s="46">
        <v>30507180405</v>
      </c>
      <c r="B69" s="11" t="s">
        <v>17</v>
      </c>
      <c r="C69" s="4">
        <v>556800000</v>
      </c>
      <c r="D69" s="4"/>
      <c r="E69" s="4"/>
      <c r="F69" s="14"/>
      <c r="G69" s="19">
        <f t="shared" si="26"/>
        <v>556800000</v>
      </c>
      <c r="H69" s="18">
        <v>673955</v>
      </c>
      <c r="I69" s="18">
        <v>4500000</v>
      </c>
      <c r="J69" s="18">
        <v>39900000</v>
      </c>
      <c r="K69" s="18">
        <v>0</v>
      </c>
      <c r="L69" s="18">
        <v>4500000</v>
      </c>
      <c r="M69" s="18">
        <v>39900000</v>
      </c>
      <c r="N69" s="18"/>
      <c r="O69" s="18">
        <v>15831450</v>
      </c>
      <c r="P69" s="18">
        <v>48706666</v>
      </c>
      <c r="Q69" s="18">
        <v>31269573</v>
      </c>
      <c r="R69" s="18">
        <v>7000000</v>
      </c>
      <c r="S69" s="18">
        <v>2450000</v>
      </c>
      <c r="T69" s="19">
        <f t="shared" si="27"/>
        <v>194731644</v>
      </c>
      <c r="U69" s="49"/>
    </row>
    <row r="70" spans="1:21" ht="17.25" customHeight="1">
      <c r="A70" s="11"/>
      <c r="B70" s="22" t="s">
        <v>83</v>
      </c>
      <c r="C70" s="21">
        <f>SUM(C65:C69)</f>
        <v>3291000000</v>
      </c>
      <c r="D70" s="21">
        <f t="shared" ref="D70:G70" si="28">SUM(D65:D69)</f>
        <v>0</v>
      </c>
      <c r="E70" s="21">
        <f t="shared" si="28"/>
        <v>0</v>
      </c>
      <c r="F70" s="21">
        <f t="shared" si="28"/>
        <v>0</v>
      </c>
      <c r="G70" s="21">
        <f t="shared" si="28"/>
        <v>3291000000</v>
      </c>
      <c r="H70" s="21">
        <f>SUM(H65:H69)</f>
        <v>673955</v>
      </c>
      <c r="I70" s="21">
        <f t="shared" ref="I70:T70" si="29">SUM(I65:I69)</f>
        <v>4500000</v>
      </c>
      <c r="J70" s="21">
        <f t="shared" si="29"/>
        <v>47700000</v>
      </c>
      <c r="K70" s="21">
        <f t="shared" si="29"/>
        <v>22500000</v>
      </c>
      <c r="L70" s="21">
        <f t="shared" si="29"/>
        <v>4500000</v>
      </c>
      <c r="M70" s="21">
        <f t="shared" si="29"/>
        <v>47700000</v>
      </c>
      <c r="N70" s="21">
        <f t="shared" si="29"/>
        <v>45631449</v>
      </c>
      <c r="O70" s="21">
        <f t="shared" si="29"/>
        <v>101590368</v>
      </c>
      <c r="P70" s="21">
        <f t="shared" si="29"/>
        <v>59327416</v>
      </c>
      <c r="Q70" s="21">
        <f t="shared" si="29"/>
        <v>51270573</v>
      </c>
      <c r="R70" s="21">
        <f t="shared" si="29"/>
        <v>7000000</v>
      </c>
      <c r="S70" s="21">
        <f t="shared" si="29"/>
        <v>2450000</v>
      </c>
      <c r="T70" s="21">
        <f t="shared" si="29"/>
        <v>394843761</v>
      </c>
      <c r="U70" s="49"/>
    </row>
    <row r="71" spans="1:21" ht="17.25" customHeight="1">
      <c r="A71" s="115" t="s">
        <v>84</v>
      </c>
      <c r="B71" s="115"/>
      <c r="C71" s="23">
        <f>C58+C63+C70</f>
        <v>12253000000</v>
      </c>
      <c r="D71" s="23">
        <f t="shared" ref="D71:G71" si="30">D58+D63+D70</f>
        <v>278300000</v>
      </c>
      <c r="E71" s="23">
        <f t="shared" si="30"/>
        <v>278300000</v>
      </c>
      <c r="F71" s="23">
        <f t="shared" si="30"/>
        <v>0</v>
      </c>
      <c r="G71" s="23">
        <f t="shared" si="30"/>
        <v>12253000000</v>
      </c>
      <c r="H71" s="23">
        <f t="shared" ref="H71:L71" si="31">H58+H63+H70</f>
        <v>461401702</v>
      </c>
      <c r="I71" s="23">
        <f t="shared" si="31"/>
        <v>682025668</v>
      </c>
      <c r="J71" s="23">
        <f t="shared" si="31"/>
        <v>696090493</v>
      </c>
      <c r="K71" s="23">
        <f t="shared" si="31"/>
        <v>523357683</v>
      </c>
      <c r="L71" s="23">
        <f t="shared" si="31"/>
        <v>594934042</v>
      </c>
      <c r="M71" s="23">
        <f t="shared" ref="M71:T71" si="32">M58+M63+M70</f>
        <v>682467876</v>
      </c>
      <c r="N71" s="23">
        <f t="shared" si="32"/>
        <v>802581868</v>
      </c>
      <c r="O71" s="23">
        <f t="shared" si="32"/>
        <v>563187980</v>
      </c>
      <c r="P71" s="23">
        <f t="shared" si="32"/>
        <v>519906986</v>
      </c>
      <c r="Q71" s="23">
        <f t="shared" si="32"/>
        <v>459848228</v>
      </c>
      <c r="R71" s="23">
        <f t="shared" si="32"/>
        <v>466620888</v>
      </c>
      <c r="S71" s="23">
        <f t="shared" si="32"/>
        <v>960601380</v>
      </c>
      <c r="T71" s="23">
        <f t="shared" si="32"/>
        <v>7413024794</v>
      </c>
      <c r="U71" s="49"/>
    </row>
    <row r="72" spans="1:21">
      <c r="M72" s="24"/>
      <c r="N72" s="24"/>
      <c r="O72" s="24"/>
      <c r="P72" s="24"/>
      <c r="Q72" s="24"/>
      <c r="T72" s="24"/>
      <c r="U72" s="49"/>
    </row>
    <row r="73" spans="1:21" ht="49.5" customHeight="1">
      <c r="T73" s="24"/>
      <c r="U73" s="49"/>
    </row>
    <row r="74" spans="1:21">
      <c r="B74" s="113" t="s">
        <v>238</v>
      </c>
      <c r="U74" s="49"/>
    </row>
    <row r="75" spans="1:21">
      <c r="B75" s="114"/>
      <c r="D75" s="25"/>
      <c r="E75" s="25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U75" s="49"/>
    </row>
    <row r="76" spans="1:21">
      <c r="T76" s="24"/>
      <c r="U76" s="49"/>
    </row>
    <row r="77" spans="1:21" ht="22.5" customHeight="1">
      <c r="U77" s="49"/>
    </row>
    <row r="78" spans="1:21">
      <c r="B78" s="47"/>
      <c r="C78" s="48"/>
      <c r="D78" s="51"/>
      <c r="E78" s="51"/>
      <c r="F78" s="48"/>
      <c r="G78" s="48"/>
      <c r="H78" s="48"/>
      <c r="I78" s="48"/>
      <c r="J78" s="48"/>
      <c r="U78" s="49"/>
    </row>
    <row r="79" spans="1:21">
      <c r="C79" s="49"/>
      <c r="D79" s="49"/>
      <c r="E79" s="49"/>
      <c r="F79" s="49"/>
      <c r="G79" s="49"/>
      <c r="H79" s="50"/>
      <c r="I79" s="49"/>
      <c r="J79" s="24"/>
      <c r="U79" s="49"/>
    </row>
    <row r="80" spans="1:21">
      <c r="C80" s="49"/>
      <c r="D80" s="49"/>
      <c r="E80" s="49"/>
      <c r="F80" s="49"/>
      <c r="G80" s="49"/>
      <c r="H80" s="50"/>
      <c r="I80" s="49"/>
      <c r="J80" s="24"/>
      <c r="U80" s="49"/>
    </row>
    <row r="81" spans="3:21">
      <c r="C81" s="49"/>
      <c r="D81" s="49"/>
      <c r="E81" s="49"/>
      <c r="F81" s="49"/>
      <c r="G81" s="49"/>
      <c r="H81" s="50"/>
      <c r="I81" s="49"/>
      <c r="J81" s="24"/>
      <c r="U81" s="49"/>
    </row>
    <row r="82" spans="3:21">
      <c r="C82" s="49"/>
      <c r="D82" s="49"/>
      <c r="E82" s="49"/>
      <c r="F82" s="49"/>
      <c r="G82" s="49"/>
      <c r="H82" s="50"/>
      <c r="I82" s="49"/>
      <c r="J82" s="24"/>
      <c r="U82" s="49"/>
    </row>
    <row r="83" spans="3:21">
      <c r="C83" s="49"/>
      <c r="D83" s="49"/>
      <c r="E83" s="49"/>
      <c r="F83" s="49"/>
      <c r="G83" s="49"/>
      <c r="H83" s="50"/>
      <c r="I83" s="49"/>
      <c r="J83" s="24"/>
      <c r="U83" s="49"/>
    </row>
    <row r="84" spans="3:21">
      <c r="C84" s="49"/>
      <c r="D84" s="49"/>
      <c r="E84" s="49"/>
      <c r="F84" s="49"/>
      <c r="G84" s="49"/>
      <c r="H84" s="50"/>
      <c r="I84" s="49"/>
      <c r="J84" s="24"/>
      <c r="U84" s="49"/>
    </row>
    <row r="85" spans="3:21">
      <c r="U85" s="49"/>
    </row>
    <row r="86" spans="3:21">
      <c r="U86" s="49"/>
    </row>
    <row r="87" spans="3:21">
      <c r="U87" s="49"/>
    </row>
    <row r="88" spans="3:21">
      <c r="U88" s="24"/>
    </row>
    <row r="91" spans="3:21">
      <c r="C91">
        <v>4022665696</v>
      </c>
    </row>
    <row r="92" spans="3:21">
      <c r="C92">
        <v>1403207526</v>
      </c>
    </row>
    <row r="93" spans="3:21">
      <c r="C93">
        <v>1278084245</v>
      </c>
    </row>
  </sheetData>
  <mergeCells count="21">
    <mergeCell ref="B74:B75"/>
    <mergeCell ref="A71:B71"/>
    <mergeCell ref="F1:F2"/>
    <mergeCell ref="G1:G2"/>
    <mergeCell ref="H1:H2"/>
    <mergeCell ref="I1:I2"/>
    <mergeCell ref="D1:E1"/>
    <mergeCell ref="P1:P2"/>
    <mergeCell ref="T1:T2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Q1:Q2"/>
    <mergeCell ref="R1:R2"/>
    <mergeCell ref="S1:S2"/>
  </mergeCells>
  <pageMargins left="0.70866141732283472" right="0.70866141732283472" top="0.74803149606299213" bottom="0.74803149606299213" header="0.31496062992125984" footer="0.31496062992125984"/>
  <pageSetup scale="55" fitToWidth="0" fitToHeight="0" orientation="portrait" r:id="rId1"/>
  <rowBreaks count="1" manualBreakCount="1">
    <brk id="4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4"/>
  <sheetViews>
    <sheetView tabSelected="1" view="pageBreakPreview" zoomScale="110" zoomScaleNormal="100" zoomScaleSheetLayoutView="110" zoomScalePageLayoutView="120" workbookViewId="0">
      <selection activeCell="S9" sqref="S9"/>
    </sheetView>
  </sheetViews>
  <sheetFormatPr baseColWidth="10" defaultRowHeight="12.75"/>
  <cols>
    <col min="1" max="1" width="8.28515625" style="34" customWidth="1"/>
    <col min="2" max="2" width="32.5703125" style="61" customWidth="1"/>
    <col min="3" max="3" width="12.5703125" style="34" bestFit="1" customWidth="1"/>
    <col min="4" max="4" width="14.7109375" style="34" hidden="1" customWidth="1"/>
    <col min="5" max="5" width="16.7109375" style="34" hidden="1" customWidth="1"/>
    <col min="6" max="6" width="15" style="34" hidden="1" customWidth="1"/>
    <col min="7" max="7" width="13.85546875" style="34" hidden="1" customWidth="1"/>
    <col min="8" max="8" width="14" style="34" hidden="1" customWidth="1"/>
    <col min="9" max="9" width="13.7109375" style="34" hidden="1" customWidth="1"/>
    <col min="10" max="10" width="12.28515625" style="34" hidden="1" customWidth="1"/>
    <col min="11" max="11" width="13.85546875" style="34" hidden="1" customWidth="1"/>
    <col min="12" max="12" width="17" style="34" hidden="1" customWidth="1"/>
    <col min="13" max="13" width="14.85546875" style="34" hidden="1" customWidth="1"/>
    <col min="14" max="14" width="16.5703125" style="34" hidden="1" customWidth="1"/>
    <col min="15" max="15" width="19.28515625" style="34" hidden="1" customWidth="1"/>
    <col min="16" max="16" width="19.28515625" style="34" customWidth="1"/>
    <col min="17" max="16384" width="11.42578125" style="34"/>
  </cols>
  <sheetData>
    <row r="2" spans="1:16" ht="15.75">
      <c r="A2" s="116" t="s">
        <v>259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" customHeight="1">
      <c r="A3" s="109" t="s">
        <v>87</v>
      </c>
      <c r="B3" s="109" t="s">
        <v>88</v>
      </c>
      <c r="C3" s="109" t="s">
        <v>180</v>
      </c>
      <c r="D3" s="117" t="s">
        <v>231</v>
      </c>
      <c r="E3" s="117" t="s">
        <v>230</v>
      </c>
      <c r="F3" s="119" t="s">
        <v>229</v>
      </c>
      <c r="G3" s="119" t="s">
        <v>228</v>
      </c>
      <c r="H3" s="119" t="s">
        <v>227</v>
      </c>
      <c r="I3" s="119" t="s">
        <v>226</v>
      </c>
      <c r="J3" s="119" t="s">
        <v>195</v>
      </c>
      <c r="K3" s="119" t="s">
        <v>201</v>
      </c>
      <c r="L3" s="119" t="s">
        <v>203</v>
      </c>
      <c r="M3" s="119" t="s">
        <v>225</v>
      </c>
      <c r="N3" s="119" t="s">
        <v>232</v>
      </c>
      <c r="O3" s="119" t="s">
        <v>236</v>
      </c>
      <c r="P3" s="119" t="s">
        <v>237</v>
      </c>
    </row>
    <row r="4" spans="1:16" ht="12.75" customHeight="1">
      <c r="A4" s="110"/>
      <c r="B4" s="110"/>
      <c r="C4" s="110"/>
      <c r="D4" s="118"/>
      <c r="E4" s="118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>
      <c r="A5" s="67">
        <v>1.1000000000000001</v>
      </c>
      <c r="B5" s="63" t="s">
        <v>2</v>
      </c>
      <c r="C5" s="68">
        <f>SUM(C6)</f>
        <v>1430000000</v>
      </c>
      <c r="D5" s="68">
        <f t="shared" ref="D5:O5" si="0">SUM(D6)</f>
        <v>47700000</v>
      </c>
      <c r="E5" s="68">
        <f t="shared" si="0"/>
        <v>95923000</v>
      </c>
      <c r="F5" s="68">
        <f t="shared" si="0"/>
        <v>250800000</v>
      </c>
      <c r="G5" s="68">
        <f t="shared" si="0"/>
        <v>204000000</v>
      </c>
      <c r="H5" s="68">
        <f t="shared" si="0"/>
        <v>211000000</v>
      </c>
      <c r="I5" s="68">
        <f t="shared" si="0"/>
        <v>210000000</v>
      </c>
      <c r="J5" s="68">
        <f t="shared" si="0"/>
        <v>91176049</v>
      </c>
      <c r="K5" s="68">
        <f t="shared" si="0"/>
        <v>249462268</v>
      </c>
      <c r="L5" s="68">
        <f t="shared" si="0"/>
        <v>11360762</v>
      </c>
      <c r="M5" s="68">
        <f t="shared" si="0"/>
        <v>11261515</v>
      </c>
      <c r="N5" s="68">
        <f t="shared" si="0"/>
        <v>50344511</v>
      </c>
      <c r="O5" s="68">
        <f t="shared" si="0"/>
        <v>44516879</v>
      </c>
      <c r="P5" s="68">
        <f t="shared" ref="P5" si="1">SUM(P6)</f>
        <v>1477544984</v>
      </c>
    </row>
    <row r="6" spans="1:16">
      <c r="A6" s="69" t="s">
        <v>89</v>
      </c>
      <c r="B6" s="64" t="s">
        <v>90</v>
      </c>
      <c r="C6" s="70">
        <v>1430000000</v>
      </c>
      <c r="D6" s="70">
        <v>47700000</v>
      </c>
      <c r="E6" s="70">
        <v>95923000</v>
      </c>
      <c r="F6" s="70">
        <v>250800000</v>
      </c>
      <c r="G6" s="70">
        <v>204000000</v>
      </c>
      <c r="H6" s="70">
        <v>211000000</v>
      </c>
      <c r="I6" s="71">
        <v>210000000</v>
      </c>
      <c r="J6" s="71">
        <v>91176049</v>
      </c>
      <c r="K6" s="71">
        <f>236412668+1746200+1147800+539400+1245800+882000+1184800+5469200+59000+775400</f>
        <v>249462268</v>
      </c>
      <c r="L6" s="71">
        <v>11360762</v>
      </c>
      <c r="M6" s="71">
        <v>11261515</v>
      </c>
      <c r="N6" s="71">
        <v>50344511</v>
      </c>
      <c r="O6" s="71">
        <v>44516879</v>
      </c>
      <c r="P6" s="70">
        <f>D6+E6+F6+G6+H6+I6+J6+K6+L6+M6+N6+O6</f>
        <v>1477544984</v>
      </c>
    </row>
    <row r="7" spans="1:16">
      <c r="A7" s="67">
        <v>1.2</v>
      </c>
      <c r="B7" s="63" t="s">
        <v>3</v>
      </c>
      <c r="C7" s="68">
        <f t="shared" ref="C7:P7" si="2">SUM(C8:C47)</f>
        <v>7800000000</v>
      </c>
      <c r="D7" s="68">
        <f t="shared" si="2"/>
        <v>237538529</v>
      </c>
      <c r="E7" s="68">
        <f t="shared" si="2"/>
        <v>281166733</v>
      </c>
      <c r="F7" s="68">
        <f t="shared" si="2"/>
        <v>304127778</v>
      </c>
      <c r="G7" s="68">
        <f t="shared" si="2"/>
        <v>242967303</v>
      </c>
      <c r="H7" s="68">
        <f t="shared" si="2"/>
        <v>251840511</v>
      </c>
      <c r="I7" s="68">
        <f t="shared" si="2"/>
        <v>213119412</v>
      </c>
      <c r="J7" s="68">
        <f t="shared" si="2"/>
        <v>218250560</v>
      </c>
      <c r="K7" s="68">
        <f t="shared" si="2"/>
        <v>253899004</v>
      </c>
      <c r="L7" s="68">
        <f t="shared" si="2"/>
        <v>247636285</v>
      </c>
      <c r="M7" s="68">
        <f t="shared" si="2"/>
        <v>266550641</v>
      </c>
      <c r="N7" s="68">
        <f t="shared" si="2"/>
        <v>246531388</v>
      </c>
      <c r="O7" s="68">
        <f t="shared" si="2"/>
        <v>293547321</v>
      </c>
      <c r="P7" s="68">
        <f t="shared" si="2"/>
        <v>3057175465</v>
      </c>
    </row>
    <row r="8" spans="1:16">
      <c r="A8" s="69" t="s">
        <v>91</v>
      </c>
      <c r="B8" s="64" t="s">
        <v>92</v>
      </c>
      <c r="C8" s="70">
        <v>3200000000</v>
      </c>
      <c r="D8" s="72">
        <f>41115991+15871238+10720874</f>
        <v>67708103</v>
      </c>
      <c r="E8" s="72">
        <f>+'[1]cuadre por cuentas 20170201 al '!$D$107</f>
        <v>84480991</v>
      </c>
      <c r="F8" s="72">
        <f>+'[2]cuadre por cuentas 20170301 al '!$D$107</f>
        <v>91208960</v>
      </c>
      <c r="G8" s="72">
        <f>+'[3]cuadre por cuentas 20170401 al '!$D$107</f>
        <v>86613097</v>
      </c>
      <c r="H8" s="70">
        <f>+'[4]cuadre por cuentas 20170501 al '!$D$107</f>
        <v>78949809</v>
      </c>
      <c r="I8" s="71">
        <f>44314183</f>
        <v>44314183</v>
      </c>
      <c r="J8" s="71">
        <f>42358524+15491254+5252572</f>
        <v>63102350</v>
      </c>
      <c r="K8" s="71">
        <v>98999275</v>
      </c>
      <c r="L8" s="71">
        <v>103100593</v>
      </c>
      <c r="M8" s="71">
        <f>74662001+15988321+9836381+316399</f>
        <v>100803102</v>
      </c>
      <c r="N8" s="71">
        <f>77019413+17406501+7398523+198308</f>
        <v>102022745</v>
      </c>
      <c r="O8" s="71">
        <f>67704959+16053024+11300260+292344</f>
        <v>95350587</v>
      </c>
      <c r="P8" s="70">
        <f t="shared" ref="P8:P47" si="3">D8+E8+F8+G8+H8+I8+J8+K8+L8+M8+N8+O8</f>
        <v>1016653795</v>
      </c>
    </row>
    <row r="9" spans="1:16">
      <c r="A9" s="69" t="s">
        <v>93</v>
      </c>
      <c r="B9" s="64" t="s">
        <v>94</v>
      </c>
      <c r="C9" s="70">
        <v>365000000</v>
      </c>
      <c r="D9" s="72">
        <f>+'[5]cuadre por cuentas 20170101 al '!$D$150</f>
        <v>16918630</v>
      </c>
      <c r="E9" s="72">
        <f>+'[1]cuadre por cuentas 20170201 al '!$D$142</f>
        <v>16040634</v>
      </c>
      <c r="F9" s="72">
        <f>+'[2]cuadre por cuentas 20170301 al '!$D$144</f>
        <v>17365464</v>
      </c>
      <c r="G9" s="72">
        <f>+'[3]cuadre por cuentas 20170401 al '!$D$144</f>
        <v>14613894</v>
      </c>
      <c r="H9" s="70">
        <f>+'[4]cuadre por cuentas 20170501 al '!$D$144</f>
        <v>19138698</v>
      </c>
      <c r="I9" s="71">
        <f>1002254+3781231+9931426+45557+501127+14578240</f>
        <v>29839835</v>
      </c>
      <c r="J9" s="71">
        <v>29019809</v>
      </c>
      <c r="K9" s="71">
        <v>28518682</v>
      </c>
      <c r="L9" s="71">
        <v>11964234</v>
      </c>
      <c r="M9" s="71">
        <v>11597358</v>
      </c>
      <c r="N9" s="71">
        <v>18187154</v>
      </c>
      <c r="O9" s="71">
        <f>346494+2160492+4239456+81528+7378284</f>
        <v>14206254</v>
      </c>
      <c r="P9" s="70">
        <f t="shared" si="3"/>
        <v>227410646</v>
      </c>
    </row>
    <row r="10" spans="1:16">
      <c r="A10" s="69" t="s">
        <v>95</v>
      </c>
      <c r="B10" s="64" t="s">
        <v>96</v>
      </c>
      <c r="C10" s="70">
        <v>60000000</v>
      </c>
      <c r="D10" s="72">
        <f>+'[5]cuadre por cuentas 20170101 al '!$D$133</f>
        <v>2189046</v>
      </c>
      <c r="E10" s="72">
        <f>+'[1]cuadre por cuentas 20170201 al '!$D$126</f>
        <v>1674495</v>
      </c>
      <c r="F10" s="72">
        <f>+'[2]cuadre por cuentas 20170301 al '!$D$127</f>
        <v>6363081</v>
      </c>
      <c r="G10" s="72">
        <f>+'[3]cuadre por cuentas 20170401 al '!$D$127</f>
        <v>4800219</v>
      </c>
      <c r="H10" s="70">
        <f>+'[4]cuadre por cuentas 20170501 al '!$D$127</f>
        <v>1748917</v>
      </c>
      <c r="I10" s="71">
        <v>1153541</v>
      </c>
      <c r="J10" s="71">
        <v>1600073</v>
      </c>
      <c r="K10" s="71">
        <v>1227963</v>
      </c>
      <c r="L10" s="71">
        <v>3311779</v>
      </c>
      <c r="M10" s="71">
        <v>3683889</v>
      </c>
      <c r="N10" s="71">
        <v>781431</v>
      </c>
      <c r="O10" s="71">
        <f>3200146+2009394</f>
        <v>5209540</v>
      </c>
      <c r="P10" s="70">
        <f t="shared" si="3"/>
        <v>33743974</v>
      </c>
    </row>
    <row r="11" spans="1:16">
      <c r="A11" s="69" t="s">
        <v>97</v>
      </c>
      <c r="B11" s="64" t="s">
        <v>98</v>
      </c>
      <c r="C11" s="70">
        <v>1764000000</v>
      </c>
      <c r="D11" s="72">
        <f>84815104-25576547</f>
        <v>59238557</v>
      </c>
      <c r="E11" s="72">
        <v>63441691</v>
      </c>
      <c r="F11" s="72">
        <v>67201796</v>
      </c>
      <c r="G11" s="72">
        <f>51785698+2352102</f>
        <v>54137800</v>
      </c>
      <c r="H11" s="70">
        <v>58064809</v>
      </c>
      <c r="I11" s="71">
        <f>38250762+2407729</f>
        <v>40658491</v>
      </c>
      <c r="J11" s="71">
        <f>34859640+1222968+32313</f>
        <v>36114921</v>
      </c>
      <c r="K11" s="71">
        <f>34530140+1017693</f>
        <v>35547833</v>
      </c>
      <c r="L11" s="71">
        <v>34273808</v>
      </c>
      <c r="M11" s="71">
        <f>7188036+33967952+229279</f>
        <v>41385267</v>
      </c>
      <c r="N11" s="71">
        <f>34646468+585781+19388</f>
        <v>35251637</v>
      </c>
      <c r="O11" s="71">
        <f>60199884+4093608+77552</f>
        <v>64371044</v>
      </c>
      <c r="P11" s="70">
        <f t="shared" si="3"/>
        <v>589687654</v>
      </c>
    </row>
    <row r="12" spans="1:16">
      <c r="A12" s="69" t="s">
        <v>99</v>
      </c>
      <c r="B12" s="64" t="s">
        <v>100</v>
      </c>
      <c r="C12" s="70">
        <v>26000000</v>
      </c>
      <c r="D12" s="72">
        <f>+'[5]cuadre por cuentas 20170101 al '!$D$109</f>
        <v>923412</v>
      </c>
      <c r="E12" s="72">
        <f>+'[1]cuadre por cuentas 20170201 al '!$D$103</f>
        <v>726840</v>
      </c>
      <c r="F12" s="72">
        <f>+'[2]cuadre por cuentas 20170301 al '!$D$103</f>
        <v>759144</v>
      </c>
      <c r="G12" s="72">
        <f>+'[3]cuadre por cuentas 20170401 al '!$D$103</f>
        <v>662232</v>
      </c>
      <c r="H12" s="70">
        <f>+'[4]cuadre por cuentas 20170501 al '!$D$103</f>
        <v>662232</v>
      </c>
      <c r="I12" s="71">
        <v>791448</v>
      </c>
      <c r="J12" s="71">
        <v>565320</v>
      </c>
      <c r="K12" s="71">
        <v>678384</v>
      </c>
      <c r="L12" s="71">
        <v>1082184</v>
      </c>
      <c r="M12" s="71">
        <v>1549713</v>
      </c>
      <c r="N12" s="71">
        <v>952968</v>
      </c>
      <c r="O12" s="71">
        <v>806721</v>
      </c>
      <c r="P12" s="70">
        <f t="shared" si="3"/>
        <v>10160598</v>
      </c>
    </row>
    <row r="13" spans="1:16">
      <c r="A13" s="69" t="s">
        <v>101</v>
      </c>
      <c r="B13" s="64" t="s">
        <v>102</v>
      </c>
      <c r="C13" s="70">
        <v>38000000</v>
      </c>
      <c r="D13" s="72">
        <f>+'[5]cuadre por cuentas 20170101 al '!$D$116</f>
        <v>1143372</v>
      </c>
      <c r="E13" s="72">
        <f>+'[1]cuadre por cuentas 20170201 al '!$D$110</f>
        <v>1114419</v>
      </c>
      <c r="F13" s="72">
        <f>+'[2]cuadre por cuentas 20170301 al '!$D$110</f>
        <v>1259782</v>
      </c>
      <c r="G13" s="72">
        <f>+'[3]cuadre por cuentas 20170401 al '!$D$110</f>
        <v>839904</v>
      </c>
      <c r="H13" s="70">
        <f>+'[4]cuadre por cuentas 20170501 al '!$D$110</f>
        <v>1001424</v>
      </c>
      <c r="I13" s="71">
        <v>1276008</v>
      </c>
      <c r="J13" s="71">
        <v>985272</v>
      </c>
      <c r="K13" s="71">
        <v>1001424</v>
      </c>
      <c r="L13" s="71">
        <v>1453680</v>
      </c>
      <c r="M13" s="71">
        <f>2244249+1942707</f>
        <v>4186956</v>
      </c>
      <c r="N13" s="71">
        <v>1372920</v>
      </c>
      <c r="O13" s="71">
        <v>1307433</v>
      </c>
      <c r="P13" s="70">
        <f t="shared" si="3"/>
        <v>16942594</v>
      </c>
    </row>
    <row r="14" spans="1:16">
      <c r="A14" s="69" t="s">
        <v>103</v>
      </c>
      <c r="B14" s="64" t="s">
        <v>104</v>
      </c>
      <c r="C14" s="70">
        <v>95000000</v>
      </c>
      <c r="D14" s="72">
        <f>+'[5]cuadre por cuentas 20170101 al '!$D$124</f>
        <v>5136620</v>
      </c>
      <c r="E14" s="72">
        <f>+'[1]cuadre por cuentas 20170201 al '!$D$117</f>
        <v>7563611</v>
      </c>
      <c r="F14" s="72">
        <f>+'[2]cuadre por cuentas 20170301 al '!$D$118</f>
        <v>11198564</v>
      </c>
      <c r="G14" s="72">
        <f>+'[3]cuadre por cuentas 20170401 al '!$D$118</f>
        <v>8175667</v>
      </c>
      <c r="H14" s="70">
        <f>+'[4]cuadre por cuentas 20170501 al '!$D$118</f>
        <v>6883478</v>
      </c>
      <c r="I14" s="71">
        <v>5061103</v>
      </c>
      <c r="J14" s="71">
        <v>4011185</v>
      </c>
      <c r="K14" s="71">
        <v>6331301</v>
      </c>
      <c r="L14" s="71">
        <v>8094786</v>
      </c>
      <c r="M14" s="71">
        <v>5280563</v>
      </c>
      <c r="N14" s="71">
        <v>4490628</v>
      </c>
      <c r="O14" s="71">
        <v>4695525</v>
      </c>
      <c r="P14" s="70">
        <f t="shared" si="3"/>
        <v>76923031</v>
      </c>
    </row>
    <row r="15" spans="1:16">
      <c r="A15" s="69" t="s">
        <v>105</v>
      </c>
      <c r="B15" s="64" t="s">
        <v>106</v>
      </c>
      <c r="C15" s="70">
        <v>5000000</v>
      </c>
      <c r="D15" s="72">
        <f>+'[5]cuadre por cuentas 20170101 al '!$D$111</f>
        <v>76257</v>
      </c>
      <c r="E15" s="72">
        <f>+'[1]cuadre por cuentas 20170201 al '!$D$105</f>
        <v>80642</v>
      </c>
      <c r="F15" s="72">
        <v>86952</v>
      </c>
      <c r="G15" s="72">
        <f>+'[3]cuadre por cuentas 20170401 al '!$D$105</f>
        <v>80642</v>
      </c>
      <c r="H15" s="70">
        <v>92456</v>
      </c>
      <c r="I15" s="71">
        <v>123456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0">
        <f t="shared" si="3"/>
        <v>540405</v>
      </c>
    </row>
    <row r="16" spans="1:16">
      <c r="A16" s="69" t="s">
        <v>107</v>
      </c>
      <c r="B16" s="64" t="s">
        <v>108</v>
      </c>
      <c r="C16" s="70">
        <v>545000000</v>
      </c>
      <c r="D16" s="72">
        <v>7020431</v>
      </c>
      <c r="E16" s="72">
        <v>7435753</v>
      </c>
      <c r="F16" s="72">
        <v>9875424</v>
      </c>
      <c r="G16" s="72">
        <v>6879425</v>
      </c>
      <c r="H16" s="70">
        <v>8963582</v>
      </c>
      <c r="I16" s="71">
        <v>6263399</v>
      </c>
      <c r="J16" s="71">
        <v>6974151</v>
      </c>
      <c r="K16" s="71">
        <v>7998062</v>
      </c>
      <c r="L16" s="71">
        <v>6595274</v>
      </c>
      <c r="M16" s="71">
        <v>7804073</v>
      </c>
      <c r="N16" s="71">
        <v>7546780</v>
      </c>
      <c r="O16" s="71">
        <v>6742995</v>
      </c>
      <c r="P16" s="70">
        <f t="shared" si="3"/>
        <v>90099349</v>
      </c>
    </row>
    <row r="17" spans="1:16">
      <c r="A17" s="69" t="s">
        <v>109</v>
      </c>
      <c r="B17" s="64" t="s">
        <v>110</v>
      </c>
      <c r="C17" s="70">
        <v>6000000</v>
      </c>
      <c r="D17" s="72">
        <f>+'[5]cuadre por cuentas 20170101 al '!$D$134</f>
        <v>456007</v>
      </c>
      <c r="E17" s="72">
        <f>+'[1]cuadre por cuentas 20170201 al '!$D$127</f>
        <v>330192</v>
      </c>
      <c r="F17" s="72">
        <f>+'[2]cuadre por cuentas 20170301 al '!$D$128</f>
        <v>715416</v>
      </c>
      <c r="G17" s="72">
        <f>+'[3]cuadre por cuentas 20170401 al '!$D$128</f>
        <v>348536</v>
      </c>
      <c r="H17" s="70">
        <f>+'[4]cuadre por cuentas 20170501 al '!$D$128</f>
        <v>495288</v>
      </c>
      <c r="I17" s="71">
        <v>421912</v>
      </c>
      <c r="J17" s="71">
        <v>440256</v>
      </c>
      <c r="K17" s="71">
        <v>642040</v>
      </c>
      <c r="L17" s="71">
        <v>587008</v>
      </c>
      <c r="M17" s="71">
        <v>550320</v>
      </c>
      <c r="N17" s="71">
        <v>403568</v>
      </c>
      <c r="O17" s="71">
        <v>458600</v>
      </c>
      <c r="P17" s="70">
        <f t="shared" si="3"/>
        <v>5849143</v>
      </c>
    </row>
    <row r="18" spans="1:16">
      <c r="A18" s="69" t="s">
        <v>111</v>
      </c>
      <c r="B18" s="64" t="s">
        <v>112</v>
      </c>
      <c r="C18" s="70">
        <v>1100000000</v>
      </c>
      <c r="D18" s="72">
        <f>+'[5]cuadre por cuentas 20170101 al '!$D$117</f>
        <v>34191551</v>
      </c>
      <c r="E18" s="72">
        <f>+'[1]cuadre por cuentas 20170201 al '!$D$111</f>
        <v>41279531</v>
      </c>
      <c r="F18" s="72">
        <f>+'[2]cuadre por cuentas 20170301 al '!$D$111</f>
        <v>41958241</v>
      </c>
      <c r="G18" s="72">
        <f>+'[3]cuadre por cuentas 20170401 al '!$D$111</f>
        <v>28002071</v>
      </c>
      <c r="H18" s="70">
        <f>+'[4]cuadre por cuentas 20170501 al '!$D$111</f>
        <v>32378934</v>
      </c>
      <c r="I18" s="71">
        <v>27271352</v>
      </c>
      <c r="J18" s="71">
        <v>21821967</v>
      </c>
      <c r="K18" s="71">
        <v>20155923</v>
      </c>
      <c r="L18" s="71">
        <v>19304788</v>
      </c>
      <c r="M18" s="71">
        <f>19063655+7701183+201879</f>
        <v>26966717</v>
      </c>
      <c r="N18" s="71">
        <v>19923342</v>
      </c>
      <c r="O18" s="71">
        <f>36858529+3495951+60067</f>
        <v>40414547</v>
      </c>
      <c r="P18" s="70">
        <f t="shared" si="3"/>
        <v>353668964</v>
      </c>
    </row>
    <row r="19" spans="1:16">
      <c r="A19" s="69" t="s">
        <v>113</v>
      </c>
      <c r="B19" s="64" t="s">
        <v>114</v>
      </c>
      <c r="C19" s="70">
        <v>96000000</v>
      </c>
      <c r="D19" s="72">
        <v>13447850</v>
      </c>
      <c r="E19" s="72">
        <v>17375730</v>
      </c>
      <c r="F19" s="72">
        <v>21456782</v>
      </c>
      <c r="G19" s="72">
        <v>12456873</v>
      </c>
      <c r="H19" s="70">
        <v>17546238</v>
      </c>
      <c r="I19" s="71">
        <v>16191130</v>
      </c>
      <c r="J19" s="71">
        <v>17529220</v>
      </c>
      <c r="K19" s="71">
        <v>18406870</v>
      </c>
      <c r="L19" s="71">
        <v>18704210</v>
      </c>
      <c r="M19" s="71">
        <v>17760618</v>
      </c>
      <c r="N19" s="71">
        <v>18344520</v>
      </c>
      <c r="O19" s="71">
        <v>23142875</v>
      </c>
      <c r="P19" s="70">
        <f t="shared" si="3"/>
        <v>212362916</v>
      </c>
    </row>
    <row r="20" spans="1:16">
      <c r="A20" s="69" t="s">
        <v>115</v>
      </c>
      <c r="B20" s="64" t="s">
        <v>116</v>
      </c>
      <c r="C20" s="70">
        <v>18000000</v>
      </c>
      <c r="D20" s="72">
        <v>8386</v>
      </c>
      <c r="E20" s="72">
        <v>7188</v>
      </c>
      <c r="F20" s="72">
        <v>8695</v>
      </c>
      <c r="G20" s="72">
        <v>7188</v>
      </c>
      <c r="H20" s="70">
        <v>8452</v>
      </c>
      <c r="I20" s="71">
        <v>15574</v>
      </c>
      <c r="J20" s="71">
        <v>4792</v>
      </c>
      <c r="K20" s="71">
        <v>9584</v>
      </c>
      <c r="L20" s="71">
        <v>10782</v>
      </c>
      <c r="M20" s="71">
        <v>32366</v>
      </c>
      <c r="N20" s="71">
        <v>5990</v>
      </c>
      <c r="O20" s="71">
        <v>4792</v>
      </c>
      <c r="P20" s="70">
        <f t="shared" si="3"/>
        <v>123789</v>
      </c>
    </row>
    <row r="21" spans="1:16">
      <c r="A21" s="69" t="s">
        <v>117</v>
      </c>
      <c r="B21" s="64" t="s">
        <v>118</v>
      </c>
      <c r="C21" s="70">
        <v>53000000</v>
      </c>
      <c r="D21" s="72">
        <v>4326144</v>
      </c>
      <c r="E21" s="72">
        <v>6719168</v>
      </c>
      <c r="F21" s="72">
        <v>528741</v>
      </c>
      <c r="G21" s="72">
        <v>1254639</v>
      </c>
      <c r="H21" s="70">
        <v>789452</v>
      </c>
      <c r="I21" s="71">
        <v>4571694</v>
      </c>
      <c r="J21" s="71">
        <v>4596273</v>
      </c>
      <c r="K21" s="71">
        <v>5456538</v>
      </c>
      <c r="L21" s="71">
        <v>5407380</v>
      </c>
      <c r="M21" s="71">
        <f>12173+6292224+24579</f>
        <v>6328976</v>
      </c>
      <c r="N21" s="71">
        <v>4522536</v>
      </c>
      <c r="O21" s="71">
        <v>4250831</v>
      </c>
      <c r="P21" s="70">
        <f t="shared" si="3"/>
        <v>48752372</v>
      </c>
    </row>
    <row r="22" spans="1:16">
      <c r="A22" s="69" t="s">
        <v>119</v>
      </c>
      <c r="B22" s="64" t="s">
        <v>120</v>
      </c>
      <c r="C22" s="70">
        <v>82500000</v>
      </c>
      <c r="D22" s="72">
        <f>+'[5]cuadre por cuentas 20170101 al '!$D$126</f>
        <v>4750549</v>
      </c>
      <c r="E22" s="72">
        <f>+'[1]cuadre por cuentas 20170201 al '!$D$119</f>
        <v>5984824</v>
      </c>
      <c r="F22" s="72">
        <f>+'[2]cuadre por cuentas 20170301 al '!$D$120</f>
        <v>7856853</v>
      </c>
      <c r="G22" s="72">
        <f>+'[3]cuadre por cuentas 20170401 al '!$D$120</f>
        <v>6285424</v>
      </c>
      <c r="H22" s="70">
        <f>+'[4]cuadre por cuentas 20170501 al '!$D$120</f>
        <v>5940423</v>
      </c>
      <c r="I22" s="71">
        <v>4342230</v>
      </c>
      <c r="J22" s="71">
        <v>2999420</v>
      </c>
      <c r="K22" s="71">
        <v>3998383</v>
      </c>
      <c r="L22" s="71">
        <v>6163584</v>
      </c>
      <c r="M22" s="71">
        <v>6137055</v>
      </c>
      <c r="N22" s="71">
        <v>4518549</v>
      </c>
      <c r="O22" s="71">
        <v>3898305</v>
      </c>
      <c r="P22" s="70">
        <f t="shared" si="3"/>
        <v>62875599</v>
      </c>
    </row>
    <row r="23" spans="1:16">
      <c r="A23" s="69" t="s">
        <v>121</v>
      </c>
      <c r="B23" s="64" t="s">
        <v>122</v>
      </c>
      <c r="C23" s="70">
        <v>3850000</v>
      </c>
      <c r="D23" s="72">
        <v>56352</v>
      </c>
      <c r="E23" s="72">
        <v>112804</v>
      </c>
      <c r="F23" s="72">
        <v>25698</v>
      </c>
      <c r="G23" s="72">
        <v>41784</v>
      </c>
      <c r="H23" s="70">
        <v>28654</v>
      </c>
      <c r="I23" s="71">
        <v>0</v>
      </c>
      <c r="J23" s="71">
        <v>56352</v>
      </c>
      <c r="K23" s="71">
        <v>619872</v>
      </c>
      <c r="L23" s="71">
        <v>112704</v>
      </c>
      <c r="M23" s="71">
        <v>788928</v>
      </c>
      <c r="N23" s="71">
        <v>169056</v>
      </c>
      <c r="O23" s="71">
        <v>169056</v>
      </c>
      <c r="P23" s="70">
        <f t="shared" si="3"/>
        <v>2181260</v>
      </c>
    </row>
    <row r="24" spans="1:16">
      <c r="A24" s="69" t="s">
        <v>123</v>
      </c>
      <c r="B24" s="64" t="s">
        <v>124</v>
      </c>
      <c r="C24" s="70">
        <v>26000000</v>
      </c>
      <c r="D24" s="72">
        <v>5697472</v>
      </c>
      <c r="E24" s="72">
        <v>6571516</v>
      </c>
      <c r="F24" s="72">
        <v>5697841</v>
      </c>
      <c r="G24" s="72">
        <v>2569842</v>
      </c>
      <c r="H24" s="70">
        <v>3569621</v>
      </c>
      <c r="I24" s="71">
        <f>2719248+3431432</f>
        <v>6150680</v>
      </c>
      <c r="J24" s="71">
        <f>2492644+3722780</f>
        <v>6215424</v>
      </c>
      <c r="K24" s="71">
        <f>3560920+2136552</f>
        <v>5697472</v>
      </c>
      <c r="L24" s="71">
        <v>6085936</v>
      </c>
      <c r="M24" s="71">
        <f>3140084+3172456</f>
        <v>6312540</v>
      </c>
      <c r="N24" s="71">
        <v>4046500</v>
      </c>
      <c r="O24" s="71">
        <f>2492644+4434964</f>
        <v>6927608</v>
      </c>
      <c r="P24" s="70">
        <f t="shared" si="3"/>
        <v>65542452</v>
      </c>
    </row>
    <row r="25" spans="1:16">
      <c r="A25" s="69" t="s">
        <v>125</v>
      </c>
      <c r="B25" s="64" t="s">
        <v>126</v>
      </c>
      <c r="C25" s="70">
        <v>39000000</v>
      </c>
      <c r="D25" s="72">
        <f>+'[5]cuadre por cuentas 20170101 al '!$D$144</f>
        <v>3404112</v>
      </c>
      <c r="E25" s="72">
        <f>+'[1]cuadre por cuentas 20170201 al '!$D$136</f>
        <v>4791760</v>
      </c>
      <c r="F25" s="72">
        <f>+'[2]cuadre por cuentas 20170301 al '!$D$138</f>
        <v>9960400</v>
      </c>
      <c r="G25" s="72">
        <f>+'[3]cuadre por cuentas 20170401 al '!$D$138</f>
        <v>9852720</v>
      </c>
      <c r="H25" s="70">
        <f>+'[4]cuadre por cuentas 20170501 al '!$D$138</f>
        <v>5545520</v>
      </c>
      <c r="I25" s="71">
        <v>7349160</v>
      </c>
      <c r="J25" s="71">
        <v>9448920</v>
      </c>
      <c r="K25" s="71">
        <v>8560560</v>
      </c>
      <c r="L25" s="71">
        <v>8129840</v>
      </c>
      <c r="M25" s="71">
        <v>10660320</v>
      </c>
      <c r="N25" s="71">
        <v>9852720</v>
      </c>
      <c r="O25" s="71">
        <v>5760880</v>
      </c>
      <c r="P25" s="70">
        <f t="shared" si="3"/>
        <v>93316912</v>
      </c>
    </row>
    <row r="26" spans="1:16">
      <c r="A26" s="69" t="s">
        <v>127</v>
      </c>
      <c r="B26" s="64" t="s">
        <v>128</v>
      </c>
      <c r="C26" s="70">
        <v>10000000</v>
      </c>
      <c r="D26" s="72">
        <v>517952</v>
      </c>
      <c r="E26" s="72">
        <v>809300</v>
      </c>
      <c r="F26" s="72">
        <v>0</v>
      </c>
      <c r="G26" s="72">
        <v>0</v>
      </c>
      <c r="H26" s="70">
        <v>0</v>
      </c>
      <c r="I26" s="71">
        <v>453208</v>
      </c>
      <c r="J26" s="71">
        <v>550324</v>
      </c>
      <c r="K26" s="71">
        <v>550324</v>
      </c>
      <c r="L26" s="71">
        <v>485580</v>
      </c>
      <c r="M26" s="71">
        <v>615068</v>
      </c>
      <c r="N26" s="71">
        <v>712184</v>
      </c>
      <c r="O26" s="71">
        <v>744556</v>
      </c>
      <c r="P26" s="70">
        <f t="shared" si="3"/>
        <v>5438496</v>
      </c>
    </row>
    <row r="27" spans="1:16">
      <c r="A27" s="69" t="s">
        <v>129</v>
      </c>
      <c r="B27" s="64" t="s">
        <v>130</v>
      </c>
      <c r="C27" s="70">
        <v>1000000</v>
      </c>
      <c r="D27" s="72"/>
      <c r="E27" s="72">
        <v>112704</v>
      </c>
      <c r="F27" s="72">
        <v>0</v>
      </c>
      <c r="G27" s="72">
        <v>0</v>
      </c>
      <c r="H27" s="70">
        <v>0</v>
      </c>
      <c r="I27" s="71">
        <v>145987</v>
      </c>
      <c r="J27" s="71">
        <v>56352</v>
      </c>
      <c r="K27" s="71">
        <v>112704</v>
      </c>
      <c r="L27" s="71">
        <v>338112</v>
      </c>
      <c r="M27" s="71">
        <v>225408</v>
      </c>
      <c r="N27" s="71">
        <v>112704</v>
      </c>
      <c r="O27" s="71">
        <v>169056</v>
      </c>
      <c r="P27" s="70">
        <f t="shared" si="3"/>
        <v>1273027</v>
      </c>
    </row>
    <row r="28" spans="1:16">
      <c r="A28" s="69" t="s">
        <v>131</v>
      </c>
      <c r="B28" s="64" t="s">
        <v>132</v>
      </c>
      <c r="C28" s="70">
        <v>6000000</v>
      </c>
      <c r="D28" s="72">
        <v>499375</v>
      </c>
      <c r="E28" s="72">
        <v>587500</v>
      </c>
      <c r="F28" s="72">
        <v>0</v>
      </c>
      <c r="G28" s="72">
        <v>0</v>
      </c>
      <c r="H28" s="70">
        <v>0</v>
      </c>
      <c r="I28" s="71">
        <v>470000</v>
      </c>
      <c r="J28" s="71">
        <v>499384</v>
      </c>
      <c r="K28" s="71">
        <v>440632</v>
      </c>
      <c r="L28" s="71">
        <v>352503</v>
      </c>
      <c r="M28" s="71">
        <v>705010</v>
      </c>
      <c r="N28" s="71">
        <v>470007</v>
      </c>
      <c r="O28" s="71">
        <v>616882</v>
      </c>
      <c r="P28" s="70">
        <f t="shared" si="3"/>
        <v>4641293</v>
      </c>
    </row>
    <row r="29" spans="1:16">
      <c r="A29" s="69" t="s">
        <v>133</v>
      </c>
      <c r="B29" s="64" t="s">
        <v>134</v>
      </c>
      <c r="C29" s="70">
        <v>250000</v>
      </c>
      <c r="D29" s="72">
        <v>0</v>
      </c>
      <c r="E29" s="72">
        <v>56352</v>
      </c>
      <c r="F29" s="72">
        <v>0</v>
      </c>
      <c r="G29" s="72">
        <v>0</v>
      </c>
      <c r="H29" s="70">
        <v>0</v>
      </c>
      <c r="I29" s="71">
        <v>112704</v>
      </c>
      <c r="J29" s="71">
        <v>112704</v>
      </c>
      <c r="K29" s="71">
        <v>56352</v>
      </c>
      <c r="L29" s="71">
        <v>112704</v>
      </c>
      <c r="M29" s="71">
        <v>56352</v>
      </c>
      <c r="N29" s="71">
        <v>169056</v>
      </c>
      <c r="O29" s="71">
        <v>56352</v>
      </c>
      <c r="P29" s="70">
        <f t="shared" si="3"/>
        <v>732576</v>
      </c>
    </row>
    <row r="30" spans="1:16">
      <c r="A30" s="69" t="s">
        <v>135</v>
      </c>
      <c r="B30" s="64" t="s">
        <v>136</v>
      </c>
      <c r="C30" s="70">
        <v>3500000</v>
      </c>
      <c r="D30" s="72">
        <v>169056</v>
      </c>
      <c r="E30" s="72">
        <v>394464</v>
      </c>
      <c r="F30" s="72">
        <v>0</v>
      </c>
      <c r="G30" s="72">
        <v>0</v>
      </c>
      <c r="H30" s="70">
        <v>0</v>
      </c>
      <c r="I30" s="71">
        <v>112704</v>
      </c>
      <c r="J30" s="71">
        <v>394464</v>
      </c>
      <c r="K30" s="71">
        <v>507168</v>
      </c>
      <c r="L30" s="71">
        <v>281760</v>
      </c>
      <c r="M30" s="71">
        <v>225408</v>
      </c>
      <c r="N30" s="71">
        <v>507168</v>
      </c>
      <c r="O30" s="71">
        <v>507168</v>
      </c>
      <c r="P30" s="70">
        <f t="shared" si="3"/>
        <v>3099360</v>
      </c>
    </row>
    <row r="31" spans="1:16">
      <c r="A31" s="69" t="s">
        <v>137</v>
      </c>
      <c r="B31" s="64" t="s">
        <v>138</v>
      </c>
      <c r="C31" s="70">
        <v>24200000</v>
      </c>
      <c r="D31" s="72">
        <v>0</v>
      </c>
      <c r="E31" s="72">
        <v>0</v>
      </c>
      <c r="F31" s="72">
        <v>0</v>
      </c>
      <c r="G31" s="72">
        <v>0</v>
      </c>
      <c r="H31" s="70">
        <v>0</v>
      </c>
      <c r="I31" s="71">
        <v>0</v>
      </c>
      <c r="J31" s="71">
        <v>0</v>
      </c>
      <c r="K31" s="71">
        <v>0</v>
      </c>
      <c r="L31" s="71">
        <v>0</v>
      </c>
      <c r="M31" s="71">
        <v>79589</v>
      </c>
      <c r="N31" s="71">
        <v>79589</v>
      </c>
      <c r="O31" s="71">
        <v>238767</v>
      </c>
      <c r="P31" s="70">
        <f t="shared" si="3"/>
        <v>397945</v>
      </c>
    </row>
    <row r="32" spans="1:16">
      <c r="A32" s="69" t="s">
        <v>139</v>
      </c>
      <c r="B32" s="64" t="s">
        <v>140</v>
      </c>
      <c r="C32" s="70">
        <v>9500000</v>
      </c>
      <c r="D32" s="72">
        <v>245800</v>
      </c>
      <c r="E32" s="72">
        <v>168463</v>
      </c>
      <c r="F32" s="72">
        <v>0</v>
      </c>
      <c r="G32" s="72">
        <v>0</v>
      </c>
      <c r="H32" s="70">
        <v>0</v>
      </c>
      <c r="I32" s="71">
        <v>136689</v>
      </c>
      <c r="J32" s="71">
        <v>259589</v>
      </c>
      <c r="K32" s="71">
        <v>218222</v>
      </c>
      <c r="L32" s="71">
        <v>354911</v>
      </c>
      <c r="M32" s="71">
        <v>501193</v>
      </c>
      <c r="N32" s="71">
        <v>196041</v>
      </c>
      <c r="O32" s="71">
        <v>482007</v>
      </c>
      <c r="P32" s="70">
        <f t="shared" si="3"/>
        <v>2562915</v>
      </c>
    </row>
    <row r="33" spans="1:16">
      <c r="A33" s="69" t="s">
        <v>141</v>
      </c>
      <c r="B33" s="64" t="s">
        <v>142</v>
      </c>
      <c r="C33" s="70">
        <v>110000</v>
      </c>
      <c r="D33" s="72">
        <v>0</v>
      </c>
      <c r="E33" s="72">
        <v>0</v>
      </c>
      <c r="F33" s="72">
        <v>0</v>
      </c>
      <c r="G33" s="72">
        <v>0</v>
      </c>
      <c r="H33" s="70">
        <v>0</v>
      </c>
      <c r="I33" s="71">
        <v>0</v>
      </c>
      <c r="J33" s="71">
        <v>0</v>
      </c>
      <c r="K33" s="71">
        <v>0</v>
      </c>
      <c r="L33" s="71">
        <v>476610</v>
      </c>
      <c r="M33" s="71">
        <v>444836</v>
      </c>
      <c r="N33" s="71">
        <v>413062</v>
      </c>
      <c r="O33" s="71">
        <v>381288</v>
      </c>
      <c r="P33" s="70">
        <f t="shared" si="3"/>
        <v>1715796</v>
      </c>
    </row>
    <row r="34" spans="1:16">
      <c r="A34" s="69" t="s">
        <v>143</v>
      </c>
      <c r="B34" s="64" t="s">
        <v>144</v>
      </c>
      <c r="C34" s="70">
        <v>3500000</v>
      </c>
      <c r="D34" s="72">
        <v>0</v>
      </c>
      <c r="E34" s="72">
        <v>0</v>
      </c>
      <c r="F34" s="72">
        <v>0</v>
      </c>
      <c r="G34" s="72">
        <v>0</v>
      </c>
      <c r="H34" s="70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/>
      <c r="O34" s="71">
        <v>0</v>
      </c>
      <c r="P34" s="70">
        <f t="shared" si="3"/>
        <v>0</v>
      </c>
    </row>
    <row r="35" spans="1:16">
      <c r="A35" s="69" t="s">
        <v>145</v>
      </c>
      <c r="B35" s="64" t="s">
        <v>146</v>
      </c>
      <c r="C35" s="70">
        <v>2200000</v>
      </c>
      <c r="D35" s="72">
        <v>0</v>
      </c>
      <c r="E35" s="72">
        <v>0</v>
      </c>
      <c r="F35" s="72">
        <v>0</v>
      </c>
      <c r="G35" s="72">
        <v>0</v>
      </c>
      <c r="H35" s="70">
        <v>0</v>
      </c>
      <c r="I35" s="71">
        <v>0</v>
      </c>
      <c r="J35" s="71">
        <v>0</v>
      </c>
      <c r="K35" s="71">
        <v>0</v>
      </c>
      <c r="L35" s="71"/>
      <c r="M35" s="71">
        <v>0</v>
      </c>
      <c r="N35" s="71"/>
      <c r="O35" s="71">
        <v>0</v>
      </c>
      <c r="P35" s="70">
        <f t="shared" si="3"/>
        <v>0</v>
      </c>
    </row>
    <row r="36" spans="1:16">
      <c r="A36" s="69" t="s">
        <v>147</v>
      </c>
      <c r="B36" s="64" t="s">
        <v>148</v>
      </c>
      <c r="C36" s="70">
        <v>112000000</v>
      </c>
      <c r="D36" s="72">
        <f>+'[5]cuadre por cuentas 20170101 al '!$D$149</f>
        <v>3874514</v>
      </c>
      <c r="E36" s="72">
        <f>+'[1]cuadre por cuentas 20170201 al '!$D$141</f>
        <v>8474616</v>
      </c>
      <c r="F36" s="72">
        <f>+'[2]cuadre por cuentas 20170301 al '!$D$143</f>
        <v>4924935</v>
      </c>
      <c r="G36" s="72">
        <f>+'[3]cuadre por cuentas 20170401 al '!$D$143</f>
        <v>1228482</v>
      </c>
      <c r="H36" s="70">
        <f>+'[4]cuadre por cuentas 20170501 al '!$D$143</f>
        <v>4234617</v>
      </c>
      <c r="I36" s="71">
        <v>12258153</v>
      </c>
      <c r="J36" s="71">
        <v>6876513</v>
      </c>
      <c r="K36" s="71">
        <v>1299177</v>
      </c>
      <c r="L36" s="71">
        <v>592470</v>
      </c>
      <c r="M36" s="71">
        <v>739242</v>
      </c>
      <c r="N36" s="71">
        <v>1619874</v>
      </c>
      <c r="O36" s="71">
        <v>2109114</v>
      </c>
      <c r="P36" s="70">
        <f t="shared" si="3"/>
        <v>48231707</v>
      </c>
    </row>
    <row r="37" spans="1:16">
      <c r="A37" s="69" t="s">
        <v>149</v>
      </c>
      <c r="B37" s="64" t="s">
        <v>150</v>
      </c>
      <c r="C37" s="70">
        <v>27500000</v>
      </c>
      <c r="D37" s="72">
        <f>+'[5]cuadre por cuentas 20170101 al '!$D$121</f>
        <v>1505636</v>
      </c>
      <c r="E37" s="72">
        <f>+'[1]cuadre por cuentas 20170201 al '!$D$114</f>
        <v>1211410</v>
      </c>
      <c r="F37" s="72">
        <f>+'[2]cuadre por cuentas 20170301 al '!$D$115</f>
        <v>1237745</v>
      </c>
      <c r="G37" s="72">
        <f>+'[3]cuadre por cuentas 20170401 al '!$D$115</f>
        <v>1079735</v>
      </c>
      <c r="H37" s="70">
        <f>+'[4]cuadre por cuentas 20170501 al '!$D$115</f>
        <v>1079735</v>
      </c>
      <c r="I37" s="71">
        <v>1290415</v>
      </c>
      <c r="J37" s="71">
        <v>921725</v>
      </c>
      <c r="K37" s="71">
        <v>1106070</v>
      </c>
      <c r="L37" s="71">
        <v>1764445</v>
      </c>
      <c r="M37" s="71">
        <v>2526728</v>
      </c>
      <c r="N37" s="71">
        <v>1553765</v>
      </c>
      <c r="O37" s="71">
        <v>1315318</v>
      </c>
      <c r="P37" s="70">
        <f t="shared" si="3"/>
        <v>16592727</v>
      </c>
    </row>
    <row r="38" spans="1:16">
      <c r="A38" s="69" t="s">
        <v>151</v>
      </c>
      <c r="B38" s="64" t="s">
        <v>152</v>
      </c>
      <c r="C38" s="70">
        <v>18560000</v>
      </c>
      <c r="D38" s="72">
        <f>+'[5]cuadre por cuentas 20170101 al '!$D$123</f>
        <v>1998832</v>
      </c>
      <c r="E38" s="72">
        <f>+'[1]cuadre por cuentas 20170201 al '!$D$116</f>
        <v>1378527</v>
      </c>
      <c r="F38" s="72">
        <f>+'[2]cuadre por cuentas 20170301 al '!$D$117</f>
        <v>2850703</v>
      </c>
      <c r="G38" s="72">
        <f>+'[3]cuadre por cuentas 20170401 al '!$D$117</f>
        <v>1363543</v>
      </c>
      <c r="H38" s="70">
        <f>+'[4]cuadre por cuentas 20170501 al '!$D$117</f>
        <v>1947920</v>
      </c>
      <c r="I38" s="71">
        <f>1505892+4294</f>
        <v>1510186</v>
      </c>
      <c r="J38" s="71">
        <v>1457194</v>
      </c>
      <c r="K38" s="71">
        <v>2887471</v>
      </c>
      <c r="L38" s="71">
        <v>3978252</v>
      </c>
      <c r="M38" s="71">
        <v>4012279</v>
      </c>
      <c r="N38" s="71">
        <v>3872330</v>
      </c>
      <c r="O38" s="71">
        <v>4728064</v>
      </c>
      <c r="P38" s="70">
        <f t="shared" si="3"/>
        <v>31985301</v>
      </c>
    </row>
    <row r="39" spans="1:16">
      <c r="A39" s="69" t="s">
        <v>153</v>
      </c>
      <c r="B39" s="64" t="s">
        <v>155</v>
      </c>
      <c r="C39" s="70">
        <v>660000</v>
      </c>
      <c r="D39" s="72">
        <f>+'[5]cuadre por cuentas 20170101 al '!$D$141</f>
        <v>21562</v>
      </c>
      <c r="E39" s="72">
        <v>43124</v>
      </c>
      <c r="F39" s="72">
        <f>+'[2]cuadre por cuentas 20170301 al '!$D$135</f>
        <v>85211</v>
      </c>
      <c r="G39" s="72">
        <f>+'[3]cuadre por cuentas 20170401 al '!$D$135</f>
        <v>36519</v>
      </c>
      <c r="H39" s="70">
        <f>+'[4]cuadre por cuentas 20170501 al '!$D$135</f>
        <v>36519</v>
      </c>
      <c r="I39" s="71">
        <v>36519</v>
      </c>
      <c r="J39" s="71">
        <v>24346</v>
      </c>
      <c r="K39" s="71">
        <v>12173</v>
      </c>
      <c r="L39" s="71">
        <v>36519</v>
      </c>
      <c r="M39" s="71">
        <v>24346</v>
      </c>
      <c r="N39" s="71">
        <v>73038</v>
      </c>
      <c r="O39" s="71">
        <v>12173</v>
      </c>
      <c r="P39" s="70">
        <f t="shared" si="3"/>
        <v>442049</v>
      </c>
    </row>
    <row r="40" spans="1:16">
      <c r="A40" s="69" t="s">
        <v>154</v>
      </c>
      <c r="B40" s="64" t="s">
        <v>157</v>
      </c>
      <c r="C40" s="70">
        <v>2420000</v>
      </c>
      <c r="D40" s="72">
        <f>+'[5]cuadre por cuentas 20170101 al '!$D$145+'[5]cuadre por cuentas 20170101 al '!$D$132</f>
        <v>158380</v>
      </c>
      <c r="E40" s="72">
        <f>+'[1]cuadre por cuentas 20170201 al '!$D$137</f>
        <v>16372</v>
      </c>
      <c r="F40" s="72">
        <f>+'[2]cuadre por cuentas 20170301 al '!$D$126</f>
        <v>163720</v>
      </c>
      <c r="G40" s="72">
        <f>+'[3]cuadre por cuentas 20170401 al '!$D$139</f>
        <v>16372</v>
      </c>
      <c r="H40" s="70">
        <f>+'[4]cuadre por cuentas 20170501 al '!$D$139</f>
        <v>16372</v>
      </c>
      <c r="I40" s="71">
        <v>130976</v>
      </c>
      <c r="J40" s="71">
        <v>49116</v>
      </c>
      <c r="K40" s="71">
        <v>65488</v>
      </c>
      <c r="L40" s="71">
        <v>16372</v>
      </c>
      <c r="M40" s="71">
        <f>49116+147348</f>
        <v>196464</v>
      </c>
      <c r="N40" s="71">
        <v>32744</v>
      </c>
      <c r="O40" s="71">
        <v>49116</v>
      </c>
      <c r="P40" s="70">
        <f t="shared" si="3"/>
        <v>911492</v>
      </c>
    </row>
    <row r="41" spans="1:16">
      <c r="A41" s="69" t="s">
        <v>156</v>
      </c>
      <c r="B41" s="64" t="s">
        <v>159</v>
      </c>
      <c r="C41" s="70">
        <v>110000</v>
      </c>
      <c r="D41" s="72"/>
      <c r="E41" s="72">
        <v>0</v>
      </c>
      <c r="F41" s="72">
        <v>0</v>
      </c>
      <c r="G41" s="72">
        <v>0</v>
      </c>
      <c r="H41" s="70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0">
        <f t="shared" si="3"/>
        <v>0</v>
      </c>
    </row>
    <row r="42" spans="1:16">
      <c r="A42" s="69" t="s">
        <v>158</v>
      </c>
      <c r="B42" s="64" t="s">
        <v>161</v>
      </c>
      <c r="C42" s="70">
        <v>2420000</v>
      </c>
      <c r="D42" s="72"/>
      <c r="E42" s="72">
        <v>0</v>
      </c>
      <c r="F42" s="72">
        <v>0</v>
      </c>
      <c r="G42" s="72">
        <v>0</v>
      </c>
      <c r="H42" s="70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0">
        <f t="shared" si="3"/>
        <v>0</v>
      </c>
    </row>
    <row r="43" spans="1:16">
      <c r="A43" s="69" t="s">
        <v>181</v>
      </c>
      <c r="B43" s="64" t="s">
        <v>163</v>
      </c>
      <c r="C43" s="70">
        <v>15730000</v>
      </c>
      <c r="D43" s="72">
        <v>467595</v>
      </c>
      <c r="E43" s="72">
        <v>814695</v>
      </c>
      <c r="F43" s="72">
        <v>0</v>
      </c>
      <c r="G43" s="72">
        <v>0</v>
      </c>
      <c r="H43" s="70">
        <v>0</v>
      </c>
      <c r="I43" s="71">
        <v>502965</v>
      </c>
      <c r="J43" s="71">
        <v>764940</v>
      </c>
      <c r="K43" s="71">
        <v>890230</v>
      </c>
      <c r="L43" s="71">
        <v>1499305</v>
      </c>
      <c r="M43" s="71">
        <v>578500</v>
      </c>
      <c r="N43" s="71">
        <v>698995</v>
      </c>
      <c r="O43" s="71">
        <v>2534005</v>
      </c>
      <c r="P43" s="70">
        <f t="shared" si="3"/>
        <v>8751230</v>
      </c>
    </row>
    <row r="44" spans="1:16">
      <c r="A44" s="69" t="s">
        <v>182</v>
      </c>
      <c r="B44" s="64" t="s">
        <v>165</v>
      </c>
      <c r="C44" s="70">
        <v>2420000</v>
      </c>
      <c r="D44" s="72"/>
      <c r="E44" s="72">
        <v>0</v>
      </c>
      <c r="F44" s="72">
        <v>0</v>
      </c>
      <c r="G44" s="72">
        <v>0</v>
      </c>
      <c r="H44" s="70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0">
        <f t="shared" si="3"/>
        <v>0</v>
      </c>
    </row>
    <row r="45" spans="1:16">
      <c r="A45" s="69" t="s">
        <v>160</v>
      </c>
      <c r="B45" s="64" t="s">
        <v>166</v>
      </c>
      <c r="C45" s="70">
        <v>2420000</v>
      </c>
      <c r="D45" s="72"/>
      <c r="E45" s="72">
        <v>0</v>
      </c>
      <c r="F45" s="72">
        <v>0</v>
      </c>
      <c r="G45" s="72">
        <v>0</v>
      </c>
      <c r="H45" s="70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0">
        <f t="shared" si="3"/>
        <v>0</v>
      </c>
    </row>
    <row r="46" spans="1:16">
      <c r="A46" s="69" t="s">
        <v>162</v>
      </c>
      <c r="B46" s="64" t="s">
        <v>167</v>
      </c>
      <c r="C46" s="70">
        <v>18150000</v>
      </c>
      <c r="D46" s="72">
        <f>+'[5]cuadre por cuentas 20170101 al '!$D$142</f>
        <v>1157628</v>
      </c>
      <c r="E46" s="72">
        <f>+'[1]cuadre por cuentas 20170201 al '!$D$134</f>
        <v>911160</v>
      </c>
      <c r="F46" s="72">
        <f>+'[2]cuadre por cuentas 20170301 al '!$D$136</f>
        <v>951656</v>
      </c>
      <c r="G46" s="72">
        <f>+'[3]cuadre por cuentas 20170401 al '!$D$136</f>
        <v>830168</v>
      </c>
      <c r="H46" s="70">
        <f>+'[4]cuadre por cuentas 20170501 al '!$D$136</f>
        <v>830168</v>
      </c>
      <c r="I46" s="71">
        <v>4916</v>
      </c>
      <c r="J46" s="71">
        <v>708680</v>
      </c>
      <c r="K46" s="71">
        <v>850416</v>
      </c>
      <c r="L46" s="71">
        <v>1356616</v>
      </c>
      <c r="M46" s="71">
        <v>1942707</v>
      </c>
      <c r="N46" s="71">
        <v>1194632</v>
      </c>
      <c r="O46" s="71">
        <v>1011299</v>
      </c>
      <c r="P46" s="70">
        <f t="shared" si="3"/>
        <v>11750046</v>
      </c>
    </row>
    <row r="47" spans="1:16">
      <c r="A47" s="69" t="s">
        <v>164</v>
      </c>
      <c r="B47" s="64" t="s">
        <v>168</v>
      </c>
      <c r="C47" s="70">
        <v>15000000</v>
      </c>
      <c r="D47" s="72">
        <f>+'[5]cuadre por cuentas 20170101 al '!$D$152</f>
        <v>229348</v>
      </c>
      <c r="E47" s="72">
        <f>+'[1]cuadre por cuentas 20170201 al '!$D$144</f>
        <v>456257</v>
      </c>
      <c r="F47" s="72">
        <v>385974</v>
      </c>
      <c r="G47" s="72">
        <f>+'[3]cuadre por cuentas 20170401 al '!$D$146</f>
        <v>790527</v>
      </c>
      <c r="H47" s="70">
        <f>+'[4]cuadre por cuentas 20170501 al '!$D$146</f>
        <v>1887193</v>
      </c>
      <c r="I47" s="71">
        <v>158794</v>
      </c>
      <c r="J47" s="71">
        <v>89524</v>
      </c>
      <c r="K47" s="71">
        <v>1052411</v>
      </c>
      <c r="L47" s="71">
        <v>1607556</v>
      </c>
      <c r="M47" s="71">
        <v>1848750</v>
      </c>
      <c r="N47" s="71">
        <v>2433155</v>
      </c>
      <c r="O47" s="71">
        <v>874563</v>
      </c>
      <c r="P47" s="70">
        <f t="shared" si="3"/>
        <v>11814052</v>
      </c>
    </row>
    <row r="48" spans="1:16">
      <c r="A48" s="73"/>
      <c r="B48" s="65" t="s">
        <v>169</v>
      </c>
      <c r="C48" s="74">
        <f t="shared" ref="C48:K48" si="4">+C5+C7</f>
        <v>9230000000</v>
      </c>
      <c r="D48" s="74">
        <f t="shared" si="4"/>
        <v>285238529</v>
      </c>
      <c r="E48" s="74">
        <f t="shared" si="4"/>
        <v>377089733</v>
      </c>
      <c r="F48" s="74">
        <f t="shared" si="4"/>
        <v>554927778</v>
      </c>
      <c r="G48" s="74">
        <f t="shared" si="4"/>
        <v>446967303</v>
      </c>
      <c r="H48" s="74">
        <f t="shared" si="4"/>
        <v>462840511</v>
      </c>
      <c r="I48" s="74">
        <f t="shared" si="4"/>
        <v>423119412</v>
      </c>
      <c r="J48" s="74">
        <f t="shared" si="4"/>
        <v>309426609</v>
      </c>
      <c r="K48" s="74">
        <f t="shared" si="4"/>
        <v>503361272</v>
      </c>
      <c r="L48" s="74">
        <f>L5+L7</f>
        <v>258997047</v>
      </c>
      <c r="M48" s="74">
        <f>M5+M7</f>
        <v>277812156</v>
      </c>
      <c r="N48" s="74">
        <f>N5+N7</f>
        <v>296875899</v>
      </c>
      <c r="O48" s="74">
        <f>O5+O7</f>
        <v>338064200</v>
      </c>
      <c r="P48" s="74">
        <f>+P5+P7</f>
        <v>4534720449</v>
      </c>
    </row>
    <row r="49" spans="1:16">
      <c r="A49" s="67">
        <v>2</v>
      </c>
      <c r="B49" s="63" t="s">
        <v>170</v>
      </c>
      <c r="C49" s="70"/>
      <c r="D49" s="70"/>
      <c r="E49" s="70"/>
      <c r="F49" s="70"/>
      <c r="G49" s="70"/>
      <c r="H49" s="70"/>
      <c r="I49" s="71"/>
      <c r="J49" s="71"/>
      <c r="K49" s="71"/>
      <c r="L49" s="71"/>
      <c r="M49" s="71"/>
      <c r="N49" s="71"/>
      <c r="O49" s="71"/>
      <c r="P49" s="68">
        <f>+D49+E49+F49+G49+H49</f>
        <v>0</v>
      </c>
    </row>
    <row r="50" spans="1:16">
      <c r="A50" s="67">
        <v>2.1</v>
      </c>
      <c r="B50" s="63" t="s">
        <v>5</v>
      </c>
      <c r="C50" s="70">
        <v>0</v>
      </c>
      <c r="D50" s="70"/>
      <c r="E50" s="70"/>
      <c r="F50" s="70"/>
      <c r="G50" s="70"/>
      <c r="H50" s="70"/>
      <c r="I50" s="75"/>
      <c r="J50" s="75"/>
      <c r="K50" s="75"/>
      <c r="L50" s="75"/>
      <c r="M50" s="75"/>
      <c r="N50" s="75"/>
      <c r="O50" s="75"/>
      <c r="P50" s="68">
        <f>+D50+E50+F50+G50+H50</f>
        <v>0</v>
      </c>
    </row>
    <row r="51" spans="1:16">
      <c r="A51" s="67">
        <v>2.2000000000000002</v>
      </c>
      <c r="B51" s="63" t="s">
        <v>6</v>
      </c>
      <c r="C51" s="68">
        <v>10000000</v>
      </c>
      <c r="D51" s="68"/>
      <c r="E51" s="70"/>
      <c r="F51" s="70"/>
      <c r="G51" s="70"/>
      <c r="H51" s="70"/>
      <c r="I51" s="71"/>
      <c r="J51" s="71"/>
      <c r="K51" s="71"/>
      <c r="L51" s="71"/>
      <c r="M51" s="71"/>
      <c r="N51" s="71"/>
      <c r="O51" s="71"/>
      <c r="P51" s="68">
        <f>+D51+E51+F51+G51+H51</f>
        <v>0</v>
      </c>
    </row>
    <row r="52" spans="1:16">
      <c r="A52" s="67">
        <v>2.2999999999999998</v>
      </c>
      <c r="B52" s="63" t="s">
        <v>7</v>
      </c>
      <c r="C52" s="68">
        <f>SUM(C53:C56)</f>
        <v>3000000000</v>
      </c>
      <c r="D52" s="68">
        <f t="shared" ref="D52:P52" si="5">SUM(D53:D56)</f>
        <v>190554448</v>
      </c>
      <c r="E52" s="68">
        <f t="shared" si="5"/>
        <v>220809485</v>
      </c>
      <c r="F52" s="68">
        <f t="shared" si="5"/>
        <v>398505277</v>
      </c>
      <c r="G52" s="68">
        <f t="shared" si="5"/>
        <v>341003083</v>
      </c>
      <c r="H52" s="68">
        <f t="shared" si="5"/>
        <v>308662673</v>
      </c>
      <c r="I52" s="68">
        <f t="shared" si="5"/>
        <v>187280565</v>
      </c>
      <c r="J52" s="68">
        <f t="shared" si="5"/>
        <v>192971194</v>
      </c>
      <c r="K52" s="68">
        <f t="shared" si="5"/>
        <v>239017785</v>
      </c>
      <c r="L52" s="68">
        <f t="shared" si="5"/>
        <v>269986626</v>
      </c>
      <c r="M52" s="68">
        <f t="shared" si="5"/>
        <v>271564632</v>
      </c>
      <c r="N52" s="68">
        <f t="shared" si="5"/>
        <v>204538850</v>
      </c>
      <c r="O52" s="68">
        <f t="shared" si="5"/>
        <v>205284733</v>
      </c>
      <c r="P52" s="68">
        <f t="shared" si="5"/>
        <v>3030179351</v>
      </c>
    </row>
    <row r="53" spans="1:16">
      <c r="A53" s="69" t="s">
        <v>171</v>
      </c>
      <c r="B53" s="66" t="s">
        <v>172</v>
      </c>
      <c r="C53" s="70">
        <v>1300000000</v>
      </c>
      <c r="D53" s="70">
        <f>+'[5]cuadre por cuentas 20170101 al '!$D$136</f>
        <v>65545371</v>
      </c>
      <c r="E53" s="70">
        <f>+'[1]cuadre por cuentas 20170201 al '!$D$129</f>
        <v>72648514</v>
      </c>
      <c r="F53" s="70">
        <f>+'[2]cuadre por cuentas 20170301 al '!$D$130</f>
        <v>98077252</v>
      </c>
      <c r="G53" s="70">
        <f>+'[3]cuadre por cuentas 20170401 al '!$D$130</f>
        <v>68372059</v>
      </c>
      <c r="H53" s="70">
        <f>+'[4]cuadre por cuentas 20170501 al '!$D$130</f>
        <v>68428433</v>
      </c>
      <c r="I53" s="70">
        <f>+'[6]cuadre por cuentas 20170601 al '!$D$130</f>
        <v>64763607</v>
      </c>
      <c r="J53" s="70">
        <v>68952501</v>
      </c>
      <c r="K53" s="71">
        <v>77299343</v>
      </c>
      <c r="L53" s="71">
        <v>85453785</v>
      </c>
      <c r="M53" s="71">
        <f>2267211+13067003+69058526+1197544+530550</f>
        <v>86120834</v>
      </c>
      <c r="N53" s="71">
        <f>2095594+14715415+59486607+669477+1012580</f>
        <v>77979673</v>
      </c>
      <c r="O53" s="71">
        <f>2277111+7200191+57028444+492583+592077</f>
        <v>67590406</v>
      </c>
      <c r="P53" s="70">
        <f t="shared" ref="P53:P56" si="6">D53+E53+F53+G53+H53+I53+J53+K53+L53+M53+N53+O53</f>
        <v>901231778</v>
      </c>
    </row>
    <row r="54" spans="1:16">
      <c r="A54" s="69" t="s">
        <v>173</v>
      </c>
      <c r="B54" s="66" t="s">
        <v>174</v>
      </c>
      <c r="C54" s="70">
        <v>470000000</v>
      </c>
      <c r="D54" s="70">
        <f>+'[5]cuadre por cuentas 20170101 al '!$D$135+'[5]cuadre por cuentas 20170101 al '!$D$137</f>
        <v>52250659</v>
      </c>
      <c r="E54" s="70">
        <f>+'[1]cuadre por cuentas 20170201 al '!$D$128+'[1]cuadre por cuentas 20170201 al '!$D$130</f>
        <v>54622977</v>
      </c>
      <c r="F54" s="70">
        <f>+'[2]cuadre por cuentas 20170301 al '!$D$129+'[2]cuadre por cuentas 20170301 al '!$D$131</f>
        <v>89619990</v>
      </c>
      <c r="G54" s="70">
        <f>+'[3]cuadre por cuentas 20170401 al '!$D$129+'[3]cuadre por cuentas 20170401 al '!$D$131</f>
        <v>66913228</v>
      </c>
      <c r="H54" s="70">
        <f>+'[4]cuadre por cuentas 20170501 al '!$D$129+'[4]cuadre por cuentas 20170501 al '!$D$131</f>
        <v>68764082</v>
      </c>
      <c r="I54" s="70">
        <f>+'[6]cuadre por cuentas 20170601 al '!$D$129+'[6]cuadre por cuentas 20170601 al '!$D$131</f>
        <v>57343883</v>
      </c>
      <c r="J54" s="70">
        <v>54866370</v>
      </c>
      <c r="K54" s="71">
        <v>66108625</v>
      </c>
      <c r="L54" s="71">
        <v>80177302</v>
      </c>
      <c r="M54" s="71">
        <f>406335+224416+46032983+615736+19744+732312+1899669+22618+14174707+25367304</f>
        <v>89495824</v>
      </c>
      <c r="N54" s="71">
        <v>68675248</v>
      </c>
      <c r="O54" s="71">
        <v>63590406</v>
      </c>
      <c r="P54" s="70">
        <f t="shared" si="6"/>
        <v>812428594</v>
      </c>
    </row>
    <row r="55" spans="1:16">
      <c r="A55" s="76" t="s">
        <v>175</v>
      </c>
      <c r="B55" s="66" t="s">
        <v>177</v>
      </c>
      <c r="C55" s="70">
        <v>610000000</v>
      </c>
      <c r="D55" s="70">
        <f>+'[5]cuadre por cuentas 20170101 al '!$D$139</f>
        <v>27327964</v>
      </c>
      <c r="E55" s="70">
        <f>+'[1]cuadre por cuentas 20170201 al '!$D$132</f>
        <v>34861389</v>
      </c>
      <c r="F55" s="70">
        <f>+'[2]cuadre por cuentas 20170301 al '!$D$133</f>
        <v>79292369</v>
      </c>
      <c r="G55" s="70">
        <f>+'[3]cuadre por cuentas 20170401 al '!$D$133</f>
        <v>75945247</v>
      </c>
      <c r="H55" s="70">
        <f>+'[4]cuadre por cuentas 20170501 al '!$D$133</f>
        <v>68968892</v>
      </c>
      <c r="I55" s="70">
        <f>+'[6]cuadre por cuentas 20170601 al '!$D$133</f>
        <v>30350033</v>
      </c>
      <c r="J55" s="70">
        <f>+'[7]cuadre por cuentas 20170701 al '!$D$149</f>
        <v>32166646</v>
      </c>
      <c r="K55" s="71">
        <f>3954+43092889+212581</f>
        <v>43309424</v>
      </c>
      <c r="L55" s="71">
        <v>47710547</v>
      </c>
      <c r="M55" s="71">
        <f>3633+40955486+2332288</f>
        <v>43291407</v>
      </c>
      <c r="N55" s="71">
        <v>26969956</v>
      </c>
      <c r="O55" s="71">
        <v>33396821</v>
      </c>
      <c r="P55" s="70">
        <f t="shared" si="6"/>
        <v>543590695</v>
      </c>
    </row>
    <row r="56" spans="1:16">
      <c r="A56" s="69" t="s">
        <v>176</v>
      </c>
      <c r="B56" s="66" t="s">
        <v>178</v>
      </c>
      <c r="C56" s="70">
        <v>620000000</v>
      </c>
      <c r="D56" s="70">
        <f>+'[5]cuadre por cuentas 20170101 al '!$D$138</f>
        <v>45430454</v>
      </c>
      <c r="E56" s="70">
        <f>+'[1]cuadre por cuentas 20170201 al '!$D$131</f>
        <v>58676605</v>
      </c>
      <c r="F56" s="70">
        <f>+'[2]cuadre por cuentas 20170301 al '!$D$132</f>
        <v>131515666</v>
      </c>
      <c r="G56" s="70">
        <f>+'[3]cuadre por cuentas 20170401 al '!$D$132</f>
        <v>129772549</v>
      </c>
      <c r="H56" s="70">
        <f>+'[4]cuadre por cuentas 20170501 al '!$D$132</f>
        <v>102501266</v>
      </c>
      <c r="I56" s="70">
        <f>+'[6]cuadre por cuentas 20170601 al '!$D$132</f>
        <v>34823042</v>
      </c>
      <c r="J56" s="70">
        <v>36985677</v>
      </c>
      <c r="K56" s="71">
        <f>52040960+259433</f>
        <v>52300393</v>
      </c>
      <c r="L56" s="71">
        <v>56644992</v>
      </c>
      <c r="M56" s="71">
        <f>50205586+2450981</f>
        <v>52656567</v>
      </c>
      <c r="N56" s="71">
        <v>30913973</v>
      </c>
      <c r="O56" s="71">
        <v>40707100</v>
      </c>
      <c r="P56" s="70">
        <f t="shared" si="6"/>
        <v>772928284</v>
      </c>
    </row>
    <row r="57" spans="1:16">
      <c r="A57" s="67">
        <v>2.4</v>
      </c>
      <c r="B57" s="63" t="s">
        <v>8</v>
      </c>
      <c r="C57" s="68">
        <v>12000000</v>
      </c>
      <c r="D57" s="68">
        <v>452897</v>
      </c>
      <c r="E57" s="70">
        <v>687945</v>
      </c>
      <c r="F57" s="70">
        <v>0</v>
      </c>
      <c r="G57" s="70">
        <v>0</v>
      </c>
      <c r="H57" s="70"/>
      <c r="I57" s="70"/>
      <c r="J57" s="70"/>
      <c r="K57" s="70"/>
      <c r="L57" s="70"/>
      <c r="M57" s="70"/>
      <c r="N57" s="70"/>
      <c r="O57" s="70"/>
      <c r="P57" s="68">
        <f>+D57+E57+F57+G57+H57+I57</f>
        <v>1140842</v>
      </c>
    </row>
    <row r="58" spans="1:16">
      <c r="A58" s="67">
        <v>2.5</v>
      </c>
      <c r="B58" s="63" t="s">
        <v>9</v>
      </c>
      <c r="C58" s="68">
        <v>1000000</v>
      </c>
      <c r="D58" s="68">
        <v>0</v>
      </c>
      <c r="E58" s="70"/>
      <c r="F58" s="70">
        <v>0</v>
      </c>
      <c r="G58" s="70">
        <v>0</v>
      </c>
      <c r="H58" s="70"/>
      <c r="I58" s="70"/>
      <c r="J58" s="70"/>
      <c r="K58" s="70"/>
      <c r="L58" s="70"/>
      <c r="M58" s="70"/>
      <c r="N58" s="70"/>
      <c r="O58" s="70"/>
      <c r="P58" s="68">
        <f>+D58+E58+F58+G58+H58</f>
        <v>0</v>
      </c>
    </row>
    <row r="59" spans="1:16" ht="15.75" customHeight="1">
      <c r="A59" s="73"/>
      <c r="B59" s="65" t="s">
        <v>179</v>
      </c>
      <c r="C59" s="74">
        <f>C50+C51+C52+C57+C58</f>
        <v>3023000000</v>
      </c>
      <c r="D59" s="74">
        <f t="shared" ref="D59:O59" si="7">D50+D51+D52+D57+D58</f>
        <v>191007345</v>
      </c>
      <c r="E59" s="74">
        <f>E50+E51+E52+E57+E58</f>
        <v>221497430</v>
      </c>
      <c r="F59" s="74">
        <f t="shared" si="7"/>
        <v>398505277</v>
      </c>
      <c r="G59" s="74">
        <f t="shared" si="7"/>
        <v>341003083</v>
      </c>
      <c r="H59" s="74">
        <f t="shared" si="7"/>
        <v>308662673</v>
      </c>
      <c r="I59" s="74">
        <f t="shared" si="7"/>
        <v>187280565</v>
      </c>
      <c r="J59" s="74">
        <f t="shared" si="7"/>
        <v>192971194</v>
      </c>
      <c r="K59" s="74">
        <f t="shared" si="7"/>
        <v>239017785</v>
      </c>
      <c r="L59" s="74">
        <f t="shared" si="7"/>
        <v>269986626</v>
      </c>
      <c r="M59" s="74">
        <f t="shared" si="7"/>
        <v>271564632</v>
      </c>
      <c r="N59" s="74">
        <f t="shared" si="7"/>
        <v>204538850</v>
      </c>
      <c r="O59" s="74">
        <f t="shared" si="7"/>
        <v>205284733</v>
      </c>
      <c r="P59" s="74">
        <f>P50+P51+P52+P57+P58</f>
        <v>3031320193</v>
      </c>
    </row>
    <row r="60" spans="1:16">
      <c r="A60" s="121" t="s">
        <v>183</v>
      </c>
      <c r="B60" s="121"/>
      <c r="C60" s="77">
        <f>+C48+C59</f>
        <v>12253000000</v>
      </c>
      <c r="D60" s="77">
        <f t="shared" ref="D60:P60" si="8">+D48+D59</f>
        <v>476245874</v>
      </c>
      <c r="E60" s="77">
        <f t="shared" si="8"/>
        <v>598587163</v>
      </c>
      <c r="F60" s="77">
        <f t="shared" si="8"/>
        <v>953433055</v>
      </c>
      <c r="G60" s="77">
        <f t="shared" si="8"/>
        <v>787970386</v>
      </c>
      <c r="H60" s="77">
        <f t="shared" si="8"/>
        <v>771503184</v>
      </c>
      <c r="I60" s="77">
        <f t="shared" si="8"/>
        <v>610399977</v>
      </c>
      <c r="J60" s="77">
        <f t="shared" si="8"/>
        <v>502397803</v>
      </c>
      <c r="K60" s="77">
        <f t="shared" si="8"/>
        <v>742379057</v>
      </c>
      <c r="L60" s="77">
        <f t="shared" si="8"/>
        <v>528983673</v>
      </c>
      <c r="M60" s="77">
        <f t="shared" si="8"/>
        <v>549376788</v>
      </c>
      <c r="N60" s="77">
        <f t="shared" si="8"/>
        <v>501414749</v>
      </c>
      <c r="O60" s="77">
        <f t="shared" si="8"/>
        <v>543348933</v>
      </c>
      <c r="P60" s="77">
        <f t="shared" si="8"/>
        <v>7566040642</v>
      </c>
    </row>
    <row r="61" spans="1:16">
      <c r="G61" s="38"/>
      <c r="H61" s="38"/>
      <c r="I61" s="38"/>
      <c r="J61" s="38"/>
      <c r="K61" s="38"/>
      <c r="L61" s="38"/>
      <c r="M61" s="38"/>
      <c r="N61" s="38"/>
      <c r="O61" s="38"/>
      <c r="P61" s="37"/>
    </row>
    <row r="62" spans="1:16" ht="12.75" customHeight="1">
      <c r="B62" s="113" t="s">
        <v>238</v>
      </c>
      <c r="C62" s="37"/>
      <c r="D62" s="40"/>
      <c r="E62" s="40"/>
      <c r="F62" s="40"/>
      <c r="G62" s="40"/>
      <c r="H62" s="40"/>
      <c r="I62" s="40"/>
      <c r="J62" s="40"/>
      <c r="K62" s="45"/>
      <c r="L62" s="45"/>
      <c r="M62" s="45"/>
      <c r="N62" s="45"/>
      <c r="O62" s="45"/>
      <c r="P62" s="45"/>
    </row>
    <row r="63" spans="1:16" ht="18" customHeight="1">
      <c r="B63" s="113"/>
      <c r="C63" s="40"/>
      <c r="F63" s="40"/>
      <c r="G63" s="40"/>
      <c r="H63" s="40"/>
      <c r="K63" s="45"/>
      <c r="L63" s="45"/>
      <c r="M63" s="45"/>
      <c r="N63" s="45"/>
      <c r="O63" s="45"/>
      <c r="P63" s="45"/>
    </row>
    <row r="64" spans="1:16">
      <c r="C64" s="37"/>
      <c r="N64" s="37"/>
      <c r="O64" s="37"/>
    </row>
    <row r="65" spans="2:16" ht="19.5" customHeight="1">
      <c r="C65" s="39"/>
      <c r="M65" s="45"/>
      <c r="N65" s="37"/>
      <c r="O65" s="37"/>
    </row>
    <row r="66" spans="2:16">
      <c r="B66" s="62"/>
      <c r="C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 customHeight="1">
      <c r="B67" s="62"/>
      <c r="C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2:16">
      <c r="B68" s="62"/>
      <c r="C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>
      <c r="B69" s="62"/>
      <c r="C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2:16">
      <c r="B70" s="62"/>
      <c r="C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2:16">
      <c r="B71" s="62"/>
      <c r="C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2:16">
      <c r="B72" s="62"/>
      <c r="C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2:16">
      <c r="B73" s="62"/>
      <c r="C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2:16">
      <c r="B74" s="62"/>
      <c r="C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2:16">
      <c r="B75" s="62"/>
      <c r="C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2:16">
      <c r="B76" s="62"/>
      <c r="C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2:16">
      <c r="L77" s="45"/>
    </row>
    <row r="78" spans="2:16">
      <c r="L78" s="45"/>
    </row>
    <row r="79" spans="2:16">
      <c r="L79" s="45"/>
    </row>
    <row r="80" spans="2:16">
      <c r="L80" s="45"/>
    </row>
    <row r="81" spans="12:12">
      <c r="L81" s="45"/>
    </row>
    <row r="82" spans="12:12">
      <c r="L82" s="45"/>
    </row>
    <row r="83" spans="12:12">
      <c r="L83" s="45"/>
    </row>
    <row r="84" spans="12:12">
      <c r="L84" s="45"/>
    </row>
    <row r="85" spans="12:12">
      <c r="L85" s="45"/>
    </row>
    <row r="86" spans="12:12">
      <c r="L86" s="45"/>
    </row>
    <row r="87" spans="12:12">
      <c r="L87" s="45"/>
    </row>
    <row r="88" spans="12:12">
      <c r="L88" s="45"/>
    </row>
    <row r="89" spans="12:12">
      <c r="L89" s="45"/>
    </row>
    <row r="90" spans="12:12">
      <c r="L90" s="45"/>
    </row>
    <row r="91" spans="12:12">
      <c r="L91" s="45"/>
    </row>
    <row r="92" spans="12:12">
      <c r="L92" s="45"/>
    </row>
    <row r="93" spans="12:12">
      <c r="L93" s="45"/>
    </row>
    <row r="94" spans="12:12">
      <c r="L94" s="45"/>
    </row>
    <row r="95" spans="12:12">
      <c r="L95" s="45"/>
    </row>
    <row r="96" spans="12:12">
      <c r="L96" s="45"/>
    </row>
    <row r="97" spans="12:12">
      <c r="L97" s="45"/>
    </row>
    <row r="98" spans="12:12">
      <c r="L98" s="45"/>
    </row>
    <row r="99" spans="12:12">
      <c r="L99" s="45"/>
    </row>
    <row r="100" spans="12:12">
      <c r="L100" s="45"/>
    </row>
    <row r="101" spans="12:12">
      <c r="L101" s="37"/>
    </row>
    <row r="102" spans="12:12">
      <c r="L102" s="45"/>
    </row>
    <row r="103" spans="12:12">
      <c r="L103" s="45"/>
    </row>
    <row r="104" spans="12:12">
      <c r="L104" s="45"/>
    </row>
    <row r="105" spans="12:12">
      <c r="L105" s="45"/>
    </row>
    <row r="106" spans="12:12">
      <c r="L106" s="45"/>
    </row>
    <row r="107" spans="12:12">
      <c r="L107" s="45"/>
    </row>
    <row r="108" spans="12:12">
      <c r="L108" s="45"/>
    </row>
    <row r="109" spans="12:12">
      <c r="L109" s="45"/>
    </row>
    <row r="110" spans="12:12">
      <c r="L110" s="45"/>
    </row>
    <row r="111" spans="12:12">
      <c r="L111" s="45"/>
    </row>
    <row r="112" spans="12:12">
      <c r="L112" s="45"/>
    </row>
    <row r="113" spans="12:12">
      <c r="L113" s="45"/>
    </row>
    <row r="114" spans="12:12">
      <c r="L114" s="45"/>
    </row>
    <row r="115" spans="12:12">
      <c r="L115" s="45"/>
    </row>
    <row r="116" spans="12:12">
      <c r="L116" s="45"/>
    </row>
    <row r="117" spans="12:12">
      <c r="L117" s="45"/>
    </row>
    <row r="118" spans="12:12">
      <c r="L118" s="45"/>
    </row>
    <row r="119" spans="12:12">
      <c r="L119" s="45"/>
    </row>
    <row r="120" spans="12:12">
      <c r="L120" s="45"/>
    </row>
    <row r="121" spans="12:12">
      <c r="L121" s="45"/>
    </row>
    <row r="122" spans="12:12">
      <c r="L122" s="45"/>
    </row>
    <row r="123" spans="12:12">
      <c r="L123" s="45"/>
    </row>
    <row r="124" spans="12:12">
      <c r="L124" s="37"/>
    </row>
  </sheetData>
  <mergeCells count="19">
    <mergeCell ref="B62:B63"/>
    <mergeCell ref="A60:B60"/>
    <mergeCell ref="A3:A4"/>
    <mergeCell ref="B3:B4"/>
    <mergeCell ref="C3:C4"/>
    <mergeCell ref="A2:P2"/>
    <mergeCell ref="D3:D4"/>
    <mergeCell ref="P3:P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pane xSplit="3" topLeftCell="J1" activePane="topRight" state="frozen"/>
      <selection pane="topRight" activeCell="Z10" sqref="Z10"/>
    </sheetView>
  </sheetViews>
  <sheetFormatPr baseColWidth="10" defaultRowHeight="15"/>
  <cols>
    <col min="1" max="1" width="8.7109375" customWidth="1"/>
    <col min="2" max="2" width="29.28515625" customWidth="1"/>
    <col min="3" max="3" width="12.28515625" bestFit="1" customWidth="1"/>
    <col min="4" max="8" width="12.28515625" hidden="1" customWidth="1"/>
    <col min="9" max="9" width="13.85546875" hidden="1" customWidth="1"/>
    <col min="10" max="17" width="0" hidden="1" customWidth="1"/>
  </cols>
  <sheetData>
    <row r="1" spans="1:23" ht="15" customHeight="1">
      <c r="A1" s="109" t="s">
        <v>87</v>
      </c>
      <c r="B1" s="109" t="s">
        <v>88</v>
      </c>
      <c r="C1" s="109" t="s">
        <v>180</v>
      </c>
      <c r="D1" s="125" t="s">
        <v>204</v>
      </c>
      <c r="E1" s="119" t="s">
        <v>205</v>
      </c>
      <c r="F1" s="122" t="s">
        <v>206</v>
      </c>
      <c r="G1" s="119" t="s">
        <v>207</v>
      </c>
      <c r="H1" s="122" t="s">
        <v>208</v>
      </c>
      <c r="I1" s="119" t="s">
        <v>209</v>
      </c>
      <c r="J1" s="122" t="s">
        <v>210</v>
      </c>
      <c r="K1" s="119" t="s">
        <v>211</v>
      </c>
      <c r="L1" s="122" t="s">
        <v>212</v>
      </c>
      <c r="M1" s="119" t="s">
        <v>213</v>
      </c>
      <c r="N1" s="122" t="s">
        <v>214</v>
      </c>
      <c r="O1" s="119" t="s">
        <v>215</v>
      </c>
      <c r="P1" s="122" t="s">
        <v>216</v>
      </c>
      <c r="Q1" s="119" t="s">
        <v>217</v>
      </c>
      <c r="R1" s="122" t="s">
        <v>218</v>
      </c>
      <c r="S1" s="119" t="s">
        <v>219</v>
      </c>
      <c r="T1" s="122" t="s">
        <v>220</v>
      </c>
      <c r="U1" s="119" t="s">
        <v>221</v>
      </c>
      <c r="V1" s="127" t="s">
        <v>222</v>
      </c>
      <c r="W1" s="119" t="s">
        <v>223</v>
      </c>
    </row>
    <row r="2" spans="1:23" ht="21.75" customHeight="1">
      <c r="A2" s="110"/>
      <c r="B2" s="110"/>
      <c r="C2" s="110"/>
      <c r="D2" s="126"/>
      <c r="E2" s="120"/>
      <c r="F2" s="123"/>
      <c r="G2" s="120"/>
      <c r="H2" s="123"/>
      <c r="I2" s="120"/>
      <c r="J2" s="123"/>
      <c r="K2" s="120"/>
      <c r="L2" s="123"/>
      <c r="M2" s="120"/>
      <c r="N2" s="123"/>
      <c r="O2" s="120"/>
      <c r="P2" s="123"/>
      <c r="Q2" s="120"/>
      <c r="R2" s="123"/>
      <c r="S2" s="120"/>
      <c r="T2" s="123"/>
      <c r="U2" s="120"/>
      <c r="V2" s="128"/>
      <c r="W2" s="120"/>
    </row>
    <row r="3" spans="1:23">
      <c r="A3" s="28">
        <v>1.1000000000000001</v>
      </c>
      <c r="B3" s="29" t="s">
        <v>2</v>
      </c>
      <c r="C3" s="41">
        <f>SUM(C4)</f>
        <v>1430000000</v>
      </c>
      <c r="D3" s="41">
        <f t="shared" ref="D3:U3" si="0">SUM(D4)</f>
        <v>47700000</v>
      </c>
      <c r="E3" s="41">
        <f t="shared" si="0"/>
        <v>47700000</v>
      </c>
      <c r="F3" s="41">
        <f t="shared" si="0"/>
        <v>95923000</v>
      </c>
      <c r="G3" s="41">
        <f t="shared" si="0"/>
        <v>95923000</v>
      </c>
      <c r="H3" s="41">
        <f t="shared" si="0"/>
        <v>250800000</v>
      </c>
      <c r="I3" s="41">
        <f t="shared" si="0"/>
        <v>250800000</v>
      </c>
      <c r="J3" s="41">
        <f t="shared" si="0"/>
        <v>204000000</v>
      </c>
      <c r="K3" s="41">
        <f t="shared" si="0"/>
        <v>204000000</v>
      </c>
      <c r="L3" s="41">
        <f t="shared" si="0"/>
        <v>211000000</v>
      </c>
      <c r="M3" s="41">
        <f t="shared" si="0"/>
        <v>211000000</v>
      </c>
      <c r="N3" s="41">
        <f t="shared" si="0"/>
        <v>210000000</v>
      </c>
      <c r="O3" s="41">
        <f t="shared" si="0"/>
        <v>210000000</v>
      </c>
      <c r="P3" s="41">
        <f t="shared" si="0"/>
        <v>74636131</v>
      </c>
      <c r="Q3" s="41">
        <f t="shared" si="0"/>
        <v>74636131</v>
      </c>
      <c r="R3" s="41">
        <f t="shared" si="0"/>
        <v>249462268</v>
      </c>
      <c r="S3" s="41">
        <f t="shared" si="0"/>
        <v>249462268</v>
      </c>
      <c r="T3" s="41">
        <f t="shared" si="0"/>
        <v>11360000</v>
      </c>
      <c r="U3" s="41">
        <f t="shared" si="0"/>
        <v>11360000</v>
      </c>
      <c r="V3" s="41">
        <f>SUM(V4)</f>
        <v>1354881399</v>
      </c>
      <c r="W3" s="41">
        <f>+E3+G3+I3+K3+M3+O3+Q3+S3+U3</f>
        <v>1354881399</v>
      </c>
    </row>
    <row r="4" spans="1:23">
      <c r="A4" s="30" t="s">
        <v>89</v>
      </c>
      <c r="B4" s="31" t="s">
        <v>90</v>
      </c>
      <c r="C4" s="42">
        <v>1430000000</v>
      </c>
      <c r="D4" s="42">
        <v>47700000</v>
      </c>
      <c r="E4" s="42">
        <v>47700000</v>
      </c>
      <c r="F4" s="42">
        <v>95923000</v>
      </c>
      <c r="G4" s="42">
        <v>95923000</v>
      </c>
      <c r="H4" s="42">
        <v>250800000</v>
      </c>
      <c r="I4" s="42">
        <v>250800000</v>
      </c>
      <c r="J4" s="42">
        <v>204000000</v>
      </c>
      <c r="K4" s="42">
        <v>204000000</v>
      </c>
      <c r="L4" s="42">
        <v>211000000</v>
      </c>
      <c r="M4" s="42">
        <v>211000000</v>
      </c>
      <c r="N4" s="42">
        <v>210000000</v>
      </c>
      <c r="O4" s="42">
        <v>210000000</v>
      </c>
      <c r="P4" s="42">
        <v>74636131</v>
      </c>
      <c r="Q4" s="42">
        <v>74636131</v>
      </c>
      <c r="R4" s="42">
        <v>249462268</v>
      </c>
      <c r="S4" s="42">
        <f>+R4</f>
        <v>249462268</v>
      </c>
      <c r="T4" s="42">
        <v>11360000</v>
      </c>
      <c r="U4" s="42">
        <v>11360000</v>
      </c>
      <c r="V4" s="42">
        <f>D4+F4+H4+J4+L4+N4+P4+R4+T4</f>
        <v>1354881399</v>
      </c>
      <c r="W4" s="42">
        <f>+E4+G4+I4+K4+M4+O4+Q4+S4+U4</f>
        <v>1354881399</v>
      </c>
    </row>
    <row r="5" spans="1:23">
      <c r="A5" s="28">
        <v>1.2</v>
      </c>
      <c r="B5" s="29" t="s">
        <v>3</v>
      </c>
      <c r="C5" s="41">
        <f>SUM(C6:C46)</f>
        <v>7800000000</v>
      </c>
      <c r="D5" s="41">
        <f t="shared" ref="D5:U5" si="1">SUM(D6:D46)</f>
        <v>237538529</v>
      </c>
      <c r="E5" s="41">
        <f t="shared" si="1"/>
        <v>237538529</v>
      </c>
      <c r="F5" s="41">
        <f t="shared" si="1"/>
        <v>281166433</v>
      </c>
      <c r="G5" s="41">
        <f t="shared" si="1"/>
        <v>281166433</v>
      </c>
      <c r="H5" s="41">
        <f t="shared" si="1"/>
        <v>304121901</v>
      </c>
      <c r="I5" s="41">
        <f t="shared" si="1"/>
        <v>304121901</v>
      </c>
      <c r="J5" s="41">
        <f t="shared" si="1"/>
        <v>242967303</v>
      </c>
      <c r="K5" s="41">
        <f t="shared" si="1"/>
        <v>242967303</v>
      </c>
      <c r="L5" s="41">
        <f t="shared" si="1"/>
        <v>251840511</v>
      </c>
      <c r="M5" s="41">
        <f t="shared" si="1"/>
        <v>251840511</v>
      </c>
      <c r="N5" s="41">
        <f t="shared" si="1"/>
        <v>213119412</v>
      </c>
      <c r="O5" s="41">
        <f t="shared" si="1"/>
        <v>209168279</v>
      </c>
      <c r="P5" s="41">
        <f t="shared" si="1"/>
        <v>218250560</v>
      </c>
      <c r="Q5" s="41" t="e">
        <f t="shared" si="1"/>
        <v>#REF!</v>
      </c>
      <c r="R5" s="41">
        <f t="shared" si="1"/>
        <v>243590409</v>
      </c>
      <c r="S5" s="41">
        <f t="shared" si="1"/>
        <v>249723025</v>
      </c>
      <c r="T5" s="41">
        <f t="shared" si="1"/>
        <v>281786641</v>
      </c>
      <c r="U5" s="41">
        <f t="shared" si="1"/>
        <v>251737250</v>
      </c>
      <c r="V5" s="41">
        <f>SUM(V6:V46)</f>
        <v>2274381699</v>
      </c>
      <c r="W5" s="41" t="e">
        <f>SUM(W6:W46)</f>
        <v>#REF!</v>
      </c>
    </row>
    <row r="6" spans="1:23">
      <c r="A6" s="30" t="s">
        <v>91</v>
      </c>
      <c r="B6" s="31" t="s">
        <v>92</v>
      </c>
      <c r="C6" s="42">
        <v>3200000000</v>
      </c>
      <c r="D6" s="42">
        <v>78685180</v>
      </c>
      <c r="E6" s="57">
        <f>+'[5]cuadre por cuentas 20170101 al '!$D$113</f>
        <v>78685180</v>
      </c>
      <c r="F6" s="42">
        <v>84480991</v>
      </c>
      <c r="G6" s="42">
        <f>+'[1]cuadre por cuentas 20170201 al '!$D$107</f>
        <v>84480991</v>
      </c>
      <c r="H6" s="42">
        <v>91208960</v>
      </c>
      <c r="I6" s="57">
        <f>+'[2]cuadre por cuentas 20170301 al '!$D$107</f>
        <v>91208960</v>
      </c>
      <c r="J6" s="42">
        <v>86613097</v>
      </c>
      <c r="K6" s="57">
        <f>+'[3]cuadre por cuentas 20170401 al '!$D$107</f>
        <v>86613097</v>
      </c>
      <c r="L6" s="42">
        <v>78949809</v>
      </c>
      <c r="M6" s="42">
        <f>+'[4]cuadre por cuentas 20170501 al '!$D$107</f>
        <v>78949809</v>
      </c>
      <c r="N6" s="42">
        <v>44314183</v>
      </c>
      <c r="O6" s="57">
        <f>+'[6]cuadre por cuentas 20170601 al '!$D$107</f>
        <v>52797229</v>
      </c>
      <c r="P6" s="42">
        <v>63102350</v>
      </c>
      <c r="Q6" s="57">
        <f>+'[7]cuadre por cuentas 20170701 al '!$D$123</f>
        <v>63102350</v>
      </c>
      <c r="R6" s="58">
        <v>84079417</v>
      </c>
      <c r="S6" s="57">
        <f>+'[8]cuadre por cuentas 20170801 al '!$H$124</f>
        <v>98999275</v>
      </c>
      <c r="T6" s="58">
        <v>118020451</v>
      </c>
      <c r="U6" s="57">
        <f>+'[9]cuadre por cuentas 20170901 al '!$D$124</f>
        <v>103100593</v>
      </c>
      <c r="V6" s="42">
        <f>D6+F6+H6+J6+L6+N6+P6+R6+T6</f>
        <v>729454438</v>
      </c>
      <c r="W6" s="42">
        <f>+E6+G6+I6+K6+M6+O6+Q6+S6+U6</f>
        <v>737937484</v>
      </c>
    </row>
    <row r="7" spans="1:23">
      <c r="A7" s="30" t="s">
        <v>93</v>
      </c>
      <c r="B7" s="31" t="s">
        <v>94</v>
      </c>
      <c r="C7" s="42">
        <v>365000000</v>
      </c>
      <c r="D7" s="42">
        <v>16918630</v>
      </c>
      <c r="E7" s="57">
        <f>+'[5]cuadre por cuentas 20170101 al '!$D$150</f>
        <v>16918630</v>
      </c>
      <c r="F7" s="42">
        <v>16040634</v>
      </c>
      <c r="G7" s="42">
        <f>+'[1]cuadre por cuentas 20170201 al '!$D$142</f>
        <v>16040634</v>
      </c>
      <c r="H7" s="42">
        <v>17365464</v>
      </c>
      <c r="I7" s="57">
        <f>+'[2]cuadre por cuentas 20170301 al '!$D$144</f>
        <v>17365464</v>
      </c>
      <c r="J7" s="42">
        <v>14613894</v>
      </c>
      <c r="K7" s="57">
        <f>+'[3]cuadre por cuentas 20170401 al '!$D$144</f>
        <v>14613894</v>
      </c>
      <c r="L7" s="42">
        <v>19138698</v>
      </c>
      <c r="M7" s="42">
        <f>+'[4]cuadre por cuentas 20170501 al '!$D$144</f>
        <v>19138698</v>
      </c>
      <c r="N7" s="42">
        <v>29839835</v>
      </c>
      <c r="O7" s="57">
        <f>+'[6]cuadre por cuentas 20170601 al '!$D$144</f>
        <v>13350210</v>
      </c>
      <c r="P7" s="42">
        <v>29019809</v>
      </c>
      <c r="Q7" s="57">
        <f>+'[7]cuadre por cuentas 20170701 al '!$D$160</f>
        <v>12983334</v>
      </c>
      <c r="R7" s="58">
        <v>28518682</v>
      </c>
      <c r="S7" s="57">
        <f>+'[8]cuadre por cuentas 20170801 al '!$H$161</f>
        <v>12759132</v>
      </c>
      <c r="T7" s="58">
        <v>26741959</v>
      </c>
      <c r="U7" s="57">
        <f>+'[9]cuadre por cuentas 20170901 al '!$D$161</f>
        <v>11964234</v>
      </c>
      <c r="V7" s="42">
        <f t="shared" ref="V7:V46" si="2">D7+F7+H7+J7+L7+N7+P7+R7+T7</f>
        <v>198197605</v>
      </c>
      <c r="W7" s="42">
        <f t="shared" ref="W7:W46" si="3">+E7+G7+I7+K7+M7+O7+Q7+S7+U7</f>
        <v>135134230</v>
      </c>
    </row>
    <row r="8" spans="1:23">
      <c r="A8" s="30" t="s">
        <v>95</v>
      </c>
      <c r="B8" s="31" t="s">
        <v>96</v>
      </c>
      <c r="C8" s="42">
        <v>60000000</v>
      </c>
      <c r="D8" s="42">
        <v>2189046</v>
      </c>
      <c r="E8" s="57">
        <f>+'[5]cuadre por cuentas 20170101 al '!$D$133</f>
        <v>2189046</v>
      </c>
      <c r="F8" s="42">
        <v>1674495</v>
      </c>
      <c r="G8" s="42">
        <f>+'[1]cuadre por cuentas 20170201 al '!$D$126</f>
        <v>1674495</v>
      </c>
      <c r="H8" s="42">
        <v>6363081</v>
      </c>
      <c r="I8" s="57">
        <f>+'[2]cuadre por cuentas 20170301 al '!$D$127</f>
        <v>6363081</v>
      </c>
      <c r="J8" s="42">
        <v>4800219</v>
      </c>
      <c r="K8" s="57">
        <f>+'[3]cuadre por cuentas 20170401 al '!$D$127</f>
        <v>4800219</v>
      </c>
      <c r="L8" s="42">
        <v>1748917</v>
      </c>
      <c r="M8" s="42">
        <f>+'[4]cuadre por cuentas 20170501 al '!$D$127</f>
        <v>1748917</v>
      </c>
      <c r="N8" s="42">
        <v>1153541</v>
      </c>
      <c r="O8" s="57">
        <f>+'[6]cuadre por cuentas 20170601 al '!$D$127</f>
        <v>1153541</v>
      </c>
      <c r="P8" s="42">
        <v>1600073</v>
      </c>
      <c r="Q8" s="57">
        <f>+'[7]cuadre por cuentas 20170701 al '!$D$143</f>
        <v>1600073</v>
      </c>
      <c r="R8" s="58">
        <v>1227963</v>
      </c>
      <c r="S8" s="57">
        <f>+'[8]cuadre por cuentas 20170801 al '!$H$144</f>
        <v>1227963</v>
      </c>
      <c r="T8" s="58">
        <v>3311779</v>
      </c>
      <c r="U8" s="57">
        <f>+'[9]cuadre por cuentas 20170901 al '!$D$144</f>
        <v>3311779</v>
      </c>
      <c r="V8" s="42">
        <f t="shared" si="2"/>
        <v>24069114</v>
      </c>
      <c r="W8" s="42">
        <f t="shared" si="3"/>
        <v>24069114</v>
      </c>
    </row>
    <row r="9" spans="1:23">
      <c r="A9" s="30" t="s">
        <v>97</v>
      </c>
      <c r="B9" s="31" t="s">
        <v>98</v>
      </c>
      <c r="C9" s="42">
        <v>1764000000</v>
      </c>
      <c r="D9" s="42"/>
      <c r="E9" s="57"/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40658491</v>
      </c>
      <c r="O9" s="42"/>
      <c r="P9" s="42">
        <v>36114921</v>
      </c>
      <c r="Q9" s="42"/>
      <c r="R9" s="58">
        <v>35547833</v>
      </c>
      <c r="S9" s="42">
        <v>0</v>
      </c>
      <c r="T9" s="58">
        <v>34273808</v>
      </c>
      <c r="U9" s="42"/>
      <c r="V9" s="42">
        <f t="shared" si="2"/>
        <v>146595053</v>
      </c>
      <c r="W9" s="42">
        <f t="shared" si="3"/>
        <v>0</v>
      </c>
    </row>
    <row r="10" spans="1:23">
      <c r="A10" s="30" t="s">
        <v>99</v>
      </c>
      <c r="B10" s="31" t="s">
        <v>100</v>
      </c>
      <c r="C10" s="42">
        <v>26000000</v>
      </c>
      <c r="D10" s="42">
        <v>923412</v>
      </c>
      <c r="E10" s="57">
        <f>+'[5]cuadre por cuentas 20170101 al '!$D$109</f>
        <v>923412</v>
      </c>
      <c r="F10" s="42">
        <v>726840</v>
      </c>
      <c r="G10" s="42">
        <f>+'[1]cuadre por cuentas 20170201 al '!$D$103</f>
        <v>726840</v>
      </c>
      <c r="H10" s="42">
        <v>759144</v>
      </c>
      <c r="I10" s="57">
        <f>+'[2]cuadre por cuentas 20170301 al '!$D$103</f>
        <v>759144</v>
      </c>
      <c r="J10" s="42">
        <v>662232</v>
      </c>
      <c r="K10" s="57">
        <f>+'[3]cuadre por cuentas 20170401 al '!$D$103</f>
        <v>662232</v>
      </c>
      <c r="L10" s="42">
        <v>662232</v>
      </c>
      <c r="M10" s="42">
        <f>+'[4]cuadre por cuentas 20170501 al '!$D$103</f>
        <v>662232</v>
      </c>
      <c r="N10" s="42">
        <v>791448</v>
      </c>
      <c r="O10" s="57">
        <f>+'[6]cuadre por cuentas 20170601 al '!$D$103</f>
        <v>791448</v>
      </c>
      <c r="P10" s="42">
        <v>565320</v>
      </c>
      <c r="Q10" s="57">
        <f>+'[7]cuadre por cuentas 20170701 al '!$D$119</f>
        <v>565320</v>
      </c>
      <c r="R10" s="58">
        <v>678384</v>
      </c>
      <c r="S10" s="57">
        <f>+'[8]cuadre por cuentas 20170801 al '!$H$120</f>
        <v>678384</v>
      </c>
      <c r="T10" s="58">
        <v>1082184</v>
      </c>
      <c r="U10" s="57">
        <f>+'[9]cuadre por cuentas 20170901 al '!$D$120</f>
        <v>1082184</v>
      </c>
      <c r="V10" s="42">
        <f t="shared" si="2"/>
        <v>6851196</v>
      </c>
      <c r="W10" s="42">
        <f t="shared" si="3"/>
        <v>6851196</v>
      </c>
    </row>
    <row r="11" spans="1:23">
      <c r="A11" s="30" t="s">
        <v>101</v>
      </c>
      <c r="B11" s="31" t="s">
        <v>102</v>
      </c>
      <c r="C11" s="42">
        <v>38000000</v>
      </c>
      <c r="D11" s="42">
        <v>1143372</v>
      </c>
      <c r="E11" s="57">
        <f>+'[5]cuadre por cuentas 20170101 al '!$D$116</f>
        <v>1143372</v>
      </c>
      <c r="F11" s="42">
        <v>1114419</v>
      </c>
      <c r="G11" s="42">
        <f>+'[1]cuadre por cuentas 20170201 al '!$D$110</f>
        <v>1114419</v>
      </c>
      <c r="H11" s="42">
        <v>1259782</v>
      </c>
      <c r="I11" s="57">
        <f>+'[2]cuadre por cuentas 20170301 al '!$D$110</f>
        <v>1259782</v>
      </c>
      <c r="J11" s="42">
        <v>839904</v>
      </c>
      <c r="K11" s="57">
        <f>+'[3]cuadre por cuentas 20170401 al '!$D$110</f>
        <v>839904</v>
      </c>
      <c r="L11" s="42">
        <v>1001424</v>
      </c>
      <c r="M11" s="42">
        <f>+'[4]cuadre por cuentas 20170501 al '!$D$110</f>
        <v>1001424</v>
      </c>
      <c r="N11" s="42">
        <v>1276008</v>
      </c>
      <c r="O11" s="57">
        <f>+'[6]cuadre por cuentas 20170601 al '!$D$110</f>
        <v>1276008</v>
      </c>
      <c r="P11" s="42">
        <v>985272</v>
      </c>
      <c r="Q11" s="57">
        <f>+'[7]cuadre por cuentas 20170701 al '!$D$126</f>
        <v>985272</v>
      </c>
      <c r="R11" s="58">
        <v>1001424</v>
      </c>
      <c r="S11" s="57">
        <f>+'[8]cuadre por cuentas 20170801 al '!$H$127</f>
        <v>1001424</v>
      </c>
      <c r="T11" s="58">
        <v>1453680</v>
      </c>
      <c r="U11" s="57">
        <f>+'[9]cuadre por cuentas 20170901 al '!$D$127</f>
        <v>1453680</v>
      </c>
      <c r="V11" s="42">
        <f t="shared" si="2"/>
        <v>10075285</v>
      </c>
      <c r="W11" s="42">
        <f t="shared" si="3"/>
        <v>10075285</v>
      </c>
    </row>
    <row r="12" spans="1:23">
      <c r="A12" s="30" t="s">
        <v>103</v>
      </c>
      <c r="B12" s="31" t="s">
        <v>104</v>
      </c>
      <c r="C12" s="42">
        <v>95000000</v>
      </c>
      <c r="D12" s="42">
        <v>5136620</v>
      </c>
      <c r="E12" s="57">
        <f>+'[5]cuadre por cuentas 20170101 al '!$D$124</f>
        <v>5136620</v>
      </c>
      <c r="F12" s="42">
        <v>7563611</v>
      </c>
      <c r="G12" s="42">
        <f>+'[1]cuadre por cuentas 20170201 al '!$D$117</f>
        <v>7563611</v>
      </c>
      <c r="H12" s="42">
        <v>11198564</v>
      </c>
      <c r="I12" s="57">
        <f>+'[2]cuadre por cuentas 20170301 al '!$D$118</f>
        <v>11198564</v>
      </c>
      <c r="J12" s="42">
        <v>8175667</v>
      </c>
      <c r="K12" s="57">
        <f>+'[3]cuadre por cuentas 20170401 al '!$D$118</f>
        <v>8175667</v>
      </c>
      <c r="L12" s="42">
        <v>6883478</v>
      </c>
      <c r="M12" s="42">
        <f>+'[4]cuadre por cuentas 20170501 al '!$D$118</f>
        <v>6883478</v>
      </c>
      <c r="N12" s="42">
        <v>5061103</v>
      </c>
      <c r="O12" s="57">
        <f>+'[6]cuadre por cuentas 20170601 al '!$D$118</f>
        <v>5061103</v>
      </c>
      <c r="P12" s="42">
        <v>4011185</v>
      </c>
      <c r="Q12" s="57">
        <f>+'[7]cuadre por cuentas 20170701 al '!$D$134</f>
        <v>4011185</v>
      </c>
      <c r="R12" s="58">
        <v>6331301</v>
      </c>
      <c r="S12" s="57">
        <f>+'[8]cuadre por cuentas 20170801 al '!$H$135</f>
        <v>6331301</v>
      </c>
      <c r="T12" s="58">
        <v>8094786</v>
      </c>
      <c r="U12" s="57">
        <f>+'[9]cuadre por cuentas 20170901 al '!$D$135</f>
        <v>8094786</v>
      </c>
      <c r="V12" s="42">
        <f t="shared" si="2"/>
        <v>62456315</v>
      </c>
      <c r="W12" s="42">
        <f t="shared" si="3"/>
        <v>62456315</v>
      </c>
    </row>
    <row r="13" spans="1:23">
      <c r="A13" s="30" t="s">
        <v>105</v>
      </c>
      <c r="B13" s="31" t="s">
        <v>106</v>
      </c>
      <c r="C13" s="42">
        <v>5000000</v>
      </c>
      <c r="D13" s="42">
        <v>76257</v>
      </c>
      <c r="E13" s="57">
        <f>+'[5]cuadre por cuentas 20170101 al '!$D$111</f>
        <v>76257</v>
      </c>
      <c r="F13" s="42">
        <v>80642</v>
      </c>
      <c r="G13" s="42">
        <f>+'[1]cuadre por cuentas 20170201 al '!$D$105</f>
        <v>80642</v>
      </c>
      <c r="H13" s="42">
        <v>0</v>
      </c>
      <c r="I13" s="42">
        <f>+'[2]cuadre por cuentas 20170301 al '!$D$105</f>
        <v>0</v>
      </c>
      <c r="J13" s="42">
        <v>80642</v>
      </c>
      <c r="K13" s="57">
        <f>+'[3]cuadre por cuentas 20170401 al '!$D$105</f>
        <v>80642</v>
      </c>
      <c r="L13" s="42">
        <v>0</v>
      </c>
      <c r="M13" s="42">
        <v>0</v>
      </c>
      <c r="N13" s="42">
        <v>123456</v>
      </c>
      <c r="O13" s="57">
        <f>+'[6]cuadre por cuentas 20170601 al '!$D$105</f>
        <v>0</v>
      </c>
      <c r="P13" s="42">
        <v>0</v>
      </c>
      <c r="Q13" s="57"/>
      <c r="R13" s="58">
        <v>0</v>
      </c>
      <c r="S13" s="57">
        <f>+'[8]cuadre por cuentas 20170801 al '!$H$122</f>
        <v>0</v>
      </c>
      <c r="T13" s="58">
        <v>0</v>
      </c>
      <c r="U13" s="57">
        <f>+'[9]cuadre por cuentas 20170901 al '!$D$122</f>
        <v>0</v>
      </c>
      <c r="V13" s="42">
        <f t="shared" si="2"/>
        <v>360997</v>
      </c>
      <c r="W13" s="42">
        <f t="shared" si="3"/>
        <v>237541</v>
      </c>
    </row>
    <row r="14" spans="1:23">
      <c r="A14" s="30" t="s">
        <v>107</v>
      </c>
      <c r="B14" s="31" t="s">
        <v>108</v>
      </c>
      <c r="C14" s="42">
        <v>545000000</v>
      </c>
      <c r="D14" s="42"/>
      <c r="E14" s="57"/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6263399</v>
      </c>
      <c r="O14" s="42"/>
      <c r="P14" s="42">
        <v>6974151</v>
      </c>
      <c r="Q14" s="42"/>
      <c r="R14" s="58">
        <v>7998062</v>
      </c>
      <c r="S14" s="42">
        <v>0</v>
      </c>
      <c r="T14" s="58">
        <v>6595274</v>
      </c>
      <c r="U14" s="42"/>
      <c r="V14" s="42">
        <f t="shared" si="2"/>
        <v>27830886</v>
      </c>
      <c r="W14" s="42">
        <f t="shared" si="3"/>
        <v>0</v>
      </c>
    </row>
    <row r="15" spans="1:23">
      <c r="A15" s="30" t="s">
        <v>109</v>
      </c>
      <c r="B15" s="31" t="s">
        <v>110</v>
      </c>
      <c r="C15" s="42">
        <v>6000000</v>
      </c>
      <c r="D15" s="42">
        <v>456007</v>
      </c>
      <c r="E15" s="57">
        <f>+'[5]cuadre por cuentas 20170101 al '!$D$134</f>
        <v>456007</v>
      </c>
      <c r="F15" s="42">
        <v>330192</v>
      </c>
      <c r="G15" s="42">
        <f>+'[1]cuadre por cuentas 20170201 al '!$D$127</f>
        <v>330192</v>
      </c>
      <c r="H15" s="42">
        <v>715416</v>
      </c>
      <c r="I15" s="42">
        <f>+'[2]cuadre por cuentas 20170301 al '!$D$128</f>
        <v>715416</v>
      </c>
      <c r="J15" s="42">
        <v>348536</v>
      </c>
      <c r="K15" s="57">
        <f>+'[3]cuadre por cuentas 20170401 al '!$D$128</f>
        <v>348536</v>
      </c>
      <c r="L15" s="42">
        <v>495288</v>
      </c>
      <c r="M15" s="42">
        <f>+'[4]cuadre por cuentas 20170501 al '!$D$128</f>
        <v>495288</v>
      </c>
      <c r="N15" s="42">
        <v>421912</v>
      </c>
      <c r="O15" s="57">
        <f>+'[6]cuadre por cuentas 20170601 al '!$D$128</f>
        <v>421912</v>
      </c>
      <c r="P15" s="42">
        <v>440256</v>
      </c>
      <c r="Q15" s="57">
        <f>+'[7]cuadre por cuentas 20170701 al '!$D$144</f>
        <v>440256</v>
      </c>
      <c r="R15" s="58">
        <v>642040</v>
      </c>
      <c r="S15" s="57">
        <f>+'[8]cuadre por cuentas 20170801 al '!$H$145</f>
        <v>642040</v>
      </c>
      <c r="T15" s="58">
        <v>587008</v>
      </c>
      <c r="U15" s="57">
        <f>+'[9]cuadre por cuentas 20170901 al '!$D$145</f>
        <v>587008</v>
      </c>
      <c r="V15" s="42">
        <f t="shared" si="2"/>
        <v>4436655</v>
      </c>
      <c r="W15" s="42">
        <f t="shared" si="3"/>
        <v>4436655</v>
      </c>
    </row>
    <row r="16" spans="1:23">
      <c r="A16" s="30" t="s">
        <v>111</v>
      </c>
      <c r="B16" s="31" t="s">
        <v>112</v>
      </c>
      <c r="C16" s="42">
        <v>1100000000</v>
      </c>
      <c r="D16" s="42">
        <v>34191551</v>
      </c>
      <c r="E16" s="57">
        <f>+'[5]cuadre por cuentas 20170101 al '!$D$117</f>
        <v>34191551</v>
      </c>
      <c r="F16" s="42">
        <v>41279531</v>
      </c>
      <c r="G16" s="42">
        <f>+'[1]cuadre por cuentas 20170201 al '!$D$111</f>
        <v>41279531</v>
      </c>
      <c r="H16" s="42">
        <v>41958241</v>
      </c>
      <c r="I16" s="42">
        <f>+'[2]cuadre por cuentas 20170301 al '!$D$111</f>
        <v>41958241</v>
      </c>
      <c r="J16" s="42">
        <v>28002071</v>
      </c>
      <c r="K16" s="57">
        <f>+'[3]cuadre por cuentas 20170401 al '!$D$111</f>
        <v>28002071</v>
      </c>
      <c r="L16" s="42">
        <v>32378934</v>
      </c>
      <c r="M16" s="42">
        <f>+'[4]cuadre por cuentas 20170501 al '!$D$111</f>
        <v>32378934</v>
      </c>
      <c r="N16" s="42">
        <v>27271352</v>
      </c>
      <c r="O16" s="57">
        <f>+'[6]cuadre por cuentas 20170601 al '!$D$111</f>
        <v>28047477</v>
      </c>
      <c r="P16" s="42">
        <v>21821967</v>
      </c>
      <c r="Q16" s="57">
        <f>+'[7]cuadre por cuentas 20170701 al '!$D$127</f>
        <v>21919895</v>
      </c>
      <c r="R16" s="58">
        <v>20090439</v>
      </c>
      <c r="S16" s="57">
        <f>+'[8]cuadre por cuentas 20170801 al '!$H$128</f>
        <v>20155923</v>
      </c>
      <c r="T16" s="58">
        <v>17131607</v>
      </c>
      <c r="U16" s="57">
        <f>+'[9]cuadre por cuentas 20170901 al '!$D$128</f>
        <v>19304788</v>
      </c>
      <c r="V16" s="42">
        <f t="shared" si="2"/>
        <v>264125693</v>
      </c>
      <c r="W16" s="42">
        <f t="shared" si="3"/>
        <v>267238411</v>
      </c>
    </row>
    <row r="17" spans="1:23">
      <c r="A17" s="30" t="s">
        <v>113</v>
      </c>
      <c r="B17" s="31" t="s">
        <v>114</v>
      </c>
      <c r="C17" s="42">
        <v>96000000</v>
      </c>
      <c r="D17" s="42">
        <v>0</v>
      </c>
      <c r="E17" s="57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16191130</v>
      </c>
      <c r="O17" s="42"/>
      <c r="P17" s="42">
        <v>17529220</v>
      </c>
      <c r="Q17" s="42"/>
      <c r="R17" s="58">
        <v>18406870</v>
      </c>
      <c r="S17" s="42">
        <v>0</v>
      </c>
      <c r="T17" s="58">
        <v>18704210</v>
      </c>
      <c r="U17" s="42"/>
      <c r="V17" s="42">
        <f t="shared" si="2"/>
        <v>70831430</v>
      </c>
      <c r="W17" s="42">
        <f t="shared" si="3"/>
        <v>0</v>
      </c>
    </row>
    <row r="18" spans="1:23">
      <c r="A18" s="30" t="s">
        <v>115</v>
      </c>
      <c r="B18" s="31" t="s">
        <v>116</v>
      </c>
      <c r="C18" s="42">
        <v>18000000</v>
      </c>
      <c r="D18" s="42">
        <v>0</v>
      </c>
      <c r="E18" s="57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15574</v>
      </c>
      <c r="O18" s="42"/>
      <c r="P18" s="42">
        <v>4792</v>
      </c>
      <c r="Q18" s="42"/>
      <c r="R18" s="58">
        <v>9584</v>
      </c>
      <c r="S18" s="42">
        <v>0</v>
      </c>
      <c r="T18" s="58">
        <v>10782</v>
      </c>
      <c r="U18" s="42"/>
      <c r="V18" s="42">
        <f t="shared" si="2"/>
        <v>40732</v>
      </c>
      <c r="W18" s="42">
        <f t="shared" si="3"/>
        <v>0</v>
      </c>
    </row>
    <row r="19" spans="1:23">
      <c r="A19" s="30" t="s">
        <v>117</v>
      </c>
      <c r="B19" s="31" t="s">
        <v>118</v>
      </c>
      <c r="C19" s="42">
        <v>53000000</v>
      </c>
      <c r="D19" s="42">
        <v>0</v>
      </c>
      <c r="E19" s="57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4571694</v>
      </c>
      <c r="O19" s="42"/>
      <c r="P19" s="42">
        <v>4596273</v>
      </c>
      <c r="Q19" s="42"/>
      <c r="R19" s="58">
        <v>5456538</v>
      </c>
      <c r="S19" s="42">
        <v>0</v>
      </c>
      <c r="T19" s="58">
        <v>5407380</v>
      </c>
      <c r="U19" s="42"/>
      <c r="V19" s="42">
        <f t="shared" si="2"/>
        <v>20031885</v>
      </c>
      <c r="W19" s="42">
        <f t="shared" si="3"/>
        <v>0</v>
      </c>
    </row>
    <row r="20" spans="1:23">
      <c r="A20" s="30" t="s">
        <v>119</v>
      </c>
      <c r="B20" s="31" t="s">
        <v>120</v>
      </c>
      <c r="C20" s="42">
        <v>82500000</v>
      </c>
      <c r="D20" s="42">
        <v>4750549</v>
      </c>
      <c r="E20" s="57">
        <f>+'[5]cuadre por cuentas 20170101 al '!$D$126</f>
        <v>4750549</v>
      </c>
      <c r="F20" s="42">
        <v>5984824</v>
      </c>
      <c r="G20" s="42">
        <f>+'[1]cuadre por cuentas 20170201 al '!$D$119</f>
        <v>5984824</v>
      </c>
      <c r="H20" s="42">
        <v>7856853</v>
      </c>
      <c r="I20" s="42">
        <f>+'[2]cuadre por cuentas 20170301 al '!$D$120</f>
        <v>7856853</v>
      </c>
      <c r="J20" s="42">
        <v>6285424</v>
      </c>
      <c r="K20" s="57">
        <f>+'[3]cuadre por cuentas 20170401 al '!$D$120</f>
        <v>6285424</v>
      </c>
      <c r="L20" s="42">
        <v>5940423</v>
      </c>
      <c r="M20" s="42">
        <f>+'[4]cuadre por cuentas 20170501 al '!$D$120</f>
        <v>5940423</v>
      </c>
      <c r="N20" s="42">
        <v>4342230</v>
      </c>
      <c r="O20" s="57">
        <f>+'[6]cuadre por cuentas 20170601 al '!$D$120</f>
        <v>4342230</v>
      </c>
      <c r="P20" s="42">
        <v>2999420</v>
      </c>
      <c r="Q20" s="57">
        <f>+'[7]cuadre por cuentas 20170701 al '!$D$136</f>
        <v>2999420</v>
      </c>
      <c r="R20" s="58">
        <v>9331930</v>
      </c>
      <c r="S20" s="57">
        <f>+'[8]cuadre por cuentas 20170801 al '!$H$137</f>
        <v>3998383</v>
      </c>
      <c r="T20" s="58">
        <v>14385548</v>
      </c>
      <c r="U20" s="57">
        <f>+'[9]cuadre por cuentas 20170901 al '!$D$137</f>
        <v>6163584</v>
      </c>
      <c r="V20" s="42">
        <f t="shared" si="2"/>
        <v>61877201</v>
      </c>
      <c r="W20" s="42">
        <f t="shared" si="3"/>
        <v>48321690</v>
      </c>
    </row>
    <row r="21" spans="1:23">
      <c r="A21" s="30" t="s">
        <v>121</v>
      </c>
      <c r="B21" s="31" t="s">
        <v>122</v>
      </c>
      <c r="C21" s="42">
        <v>3850000</v>
      </c>
      <c r="D21" s="42"/>
      <c r="E21" s="57"/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/>
      <c r="P21" s="42">
        <v>56352</v>
      </c>
      <c r="Q21" s="42"/>
      <c r="R21" s="58">
        <v>619872</v>
      </c>
      <c r="S21" s="42">
        <v>0</v>
      </c>
      <c r="T21" s="58">
        <v>112704</v>
      </c>
      <c r="U21" s="42"/>
      <c r="V21" s="42">
        <f t="shared" si="2"/>
        <v>788928</v>
      </c>
      <c r="W21" s="42">
        <f t="shared" si="3"/>
        <v>0</v>
      </c>
    </row>
    <row r="22" spans="1:23">
      <c r="A22" s="30" t="s">
        <v>123</v>
      </c>
      <c r="B22" s="31" t="s">
        <v>124</v>
      </c>
      <c r="C22" s="42">
        <v>26000000</v>
      </c>
      <c r="D22" s="42"/>
      <c r="E22" s="57"/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6150680</v>
      </c>
      <c r="O22" s="42"/>
      <c r="P22" s="42">
        <v>6215424</v>
      </c>
      <c r="Q22" s="42"/>
      <c r="R22" s="58">
        <v>5697472</v>
      </c>
      <c r="S22" s="42">
        <v>0</v>
      </c>
      <c r="T22" s="58">
        <v>6085936</v>
      </c>
      <c r="U22" s="42"/>
      <c r="V22" s="42">
        <f t="shared" si="2"/>
        <v>24149512</v>
      </c>
      <c r="W22" s="42">
        <f t="shared" si="3"/>
        <v>0</v>
      </c>
    </row>
    <row r="23" spans="1:23">
      <c r="A23" s="30" t="s">
        <v>125</v>
      </c>
      <c r="B23" s="31" t="s">
        <v>126</v>
      </c>
      <c r="C23" s="42">
        <v>39000000</v>
      </c>
      <c r="D23" s="42">
        <v>3404112</v>
      </c>
      <c r="E23" s="57">
        <f>+'[5]cuadre por cuentas 20170101 al '!$D$144</f>
        <v>3404112</v>
      </c>
      <c r="F23" s="42">
        <v>4791760</v>
      </c>
      <c r="G23" s="42">
        <f>+'[1]cuadre por cuentas 20170201 al '!$D$136</f>
        <v>4791760</v>
      </c>
      <c r="H23" s="42">
        <v>9960400</v>
      </c>
      <c r="I23" s="42">
        <f>+'[2]cuadre por cuentas 20170301 al '!$D$138</f>
        <v>9960400</v>
      </c>
      <c r="J23" s="42">
        <v>9852720</v>
      </c>
      <c r="K23" s="57">
        <f>+'[3]cuadre por cuentas 20170401 al '!$D$138</f>
        <v>9852720</v>
      </c>
      <c r="L23" s="42">
        <v>5545520</v>
      </c>
      <c r="M23" s="42">
        <f>+'[4]cuadre por cuentas 20170501 al '!$D$138</f>
        <v>5545520</v>
      </c>
      <c r="N23" s="42">
        <v>7349160</v>
      </c>
      <c r="O23" s="57">
        <f>+'[6]cuadre por cuentas 20170601 al '!$D$138</f>
        <v>7349160</v>
      </c>
      <c r="P23" s="42">
        <v>9448920</v>
      </c>
      <c r="Q23" s="57">
        <f>+'[7]cuadre por cuentas 20170701 al '!$D$154</f>
        <v>9448920</v>
      </c>
      <c r="R23" s="58">
        <v>8560560</v>
      </c>
      <c r="S23" s="57">
        <f>+'[8]cuadre por cuentas 20170801 al '!$H$155</f>
        <v>8560560</v>
      </c>
      <c r="T23" s="58">
        <v>8129840</v>
      </c>
      <c r="U23" s="57">
        <f>+'[9]cuadre por cuentas 20170901 al '!$D$155</f>
        <v>8129840</v>
      </c>
      <c r="V23" s="42">
        <f t="shared" si="2"/>
        <v>67042992</v>
      </c>
      <c r="W23" s="42">
        <f t="shared" si="3"/>
        <v>67042992</v>
      </c>
    </row>
    <row r="24" spans="1:23">
      <c r="A24" s="30" t="s">
        <v>127</v>
      </c>
      <c r="B24" s="31" t="s">
        <v>128</v>
      </c>
      <c r="C24" s="42">
        <v>10000000</v>
      </c>
      <c r="D24" s="42">
        <v>0</v>
      </c>
      <c r="E24" s="57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453208</v>
      </c>
      <c r="O24" s="42"/>
      <c r="P24" s="42">
        <v>550324</v>
      </c>
      <c r="Q24" s="42"/>
      <c r="R24" s="58">
        <v>550324</v>
      </c>
      <c r="S24" s="42">
        <v>0</v>
      </c>
      <c r="T24" s="58">
        <v>485580</v>
      </c>
      <c r="U24" s="42"/>
      <c r="V24" s="42">
        <f t="shared" si="2"/>
        <v>2039436</v>
      </c>
      <c r="W24" s="42">
        <f t="shared" si="3"/>
        <v>0</v>
      </c>
    </row>
    <row r="25" spans="1:23">
      <c r="A25" s="30" t="s">
        <v>129</v>
      </c>
      <c r="B25" s="31" t="s">
        <v>130</v>
      </c>
      <c r="C25" s="42">
        <v>1000000</v>
      </c>
      <c r="D25" s="42">
        <v>0</v>
      </c>
      <c r="E25" s="57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145987</v>
      </c>
      <c r="O25" s="42"/>
      <c r="P25" s="42">
        <v>56352</v>
      </c>
      <c r="Q25" s="42"/>
      <c r="R25" s="58">
        <v>112704</v>
      </c>
      <c r="S25" s="42">
        <v>0</v>
      </c>
      <c r="T25" s="58">
        <v>338112</v>
      </c>
      <c r="U25" s="42"/>
      <c r="V25" s="42">
        <f t="shared" si="2"/>
        <v>653155</v>
      </c>
      <c r="W25" s="42">
        <f t="shared" si="3"/>
        <v>0</v>
      </c>
    </row>
    <row r="26" spans="1:23">
      <c r="A26" s="30" t="s">
        <v>131</v>
      </c>
      <c r="B26" s="31" t="s">
        <v>132</v>
      </c>
      <c r="C26" s="42">
        <v>6000000</v>
      </c>
      <c r="D26" s="42">
        <v>0</v>
      </c>
      <c r="E26" s="57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470000</v>
      </c>
      <c r="O26" s="42"/>
      <c r="P26" s="42">
        <v>499384</v>
      </c>
      <c r="Q26" s="42"/>
      <c r="R26" s="58">
        <v>440632</v>
      </c>
      <c r="S26" s="42">
        <v>0</v>
      </c>
      <c r="T26" s="58">
        <v>352503</v>
      </c>
      <c r="U26" s="42"/>
      <c r="V26" s="42">
        <f t="shared" si="2"/>
        <v>1762519</v>
      </c>
      <c r="W26" s="42">
        <f t="shared" si="3"/>
        <v>0</v>
      </c>
    </row>
    <row r="27" spans="1:23">
      <c r="A27" s="30" t="s">
        <v>133</v>
      </c>
      <c r="B27" s="31" t="s">
        <v>134</v>
      </c>
      <c r="C27" s="42">
        <v>250000</v>
      </c>
      <c r="D27" s="42">
        <v>0</v>
      </c>
      <c r="E27" s="57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112704</v>
      </c>
      <c r="O27" s="42"/>
      <c r="P27" s="42">
        <v>112704</v>
      </c>
      <c r="Q27" s="42"/>
      <c r="R27" s="58">
        <v>56352</v>
      </c>
      <c r="S27" s="42">
        <v>0</v>
      </c>
      <c r="T27" s="58">
        <v>112704</v>
      </c>
      <c r="U27" s="42"/>
      <c r="V27" s="42">
        <f t="shared" si="2"/>
        <v>394464</v>
      </c>
      <c r="W27" s="42">
        <f t="shared" si="3"/>
        <v>0</v>
      </c>
    </row>
    <row r="28" spans="1:23">
      <c r="A28" s="30" t="s">
        <v>135</v>
      </c>
      <c r="B28" s="31" t="s">
        <v>136</v>
      </c>
      <c r="C28" s="42">
        <v>3500000</v>
      </c>
      <c r="D28" s="42">
        <v>0</v>
      </c>
      <c r="E28" s="57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112704</v>
      </c>
      <c r="O28" s="42"/>
      <c r="P28" s="42">
        <v>394464</v>
      </c>
      <c r="Q28" s="42"/>
      <c r="R28" s="58">
        <v>507168</v>
      </c>
      <c r="S28" s="42">
        <v>0</v>
      </c>
      <c r="T28" s="58">
        <v>281760</v>
      </c>
      <c r="U28" s="42"/>
      <c r="V28" s="42">
        <f t="shared" si="2"/>
        <v>1296096</v>
      </c>
      <c r="W28" s="42">
        <f t="shared" si="3"/>
        <v>0</v>
      </c>
    </row>
    <row r="29" spans="1:23">
      <c r="A29" s="30" t="s">
        <v>137</v>
      </c>
      <c r="B29" s="31" t="s">
        <v>138</v>
      </c>
      <c r="C29" s="42">
        <v>24200000</v>
      </c>
      <c r="D29" s="42">
        <v>0</v>
      </c>
      <c r="E29" s="57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/>
      <c r="P29" s="42">
        <v>0</v>
      </c>
      <c r="Q29" s="42"/>
      <c r="R29" s="58">
        <v>0</v>
      </c>
      <c r="S29" s="42">
        <v>0</v>
      </c>
      <c r="T29" s="58">
        <v>0</v>
      </c>
      <c r="U29" s="42"/>
      <c r="V29" s="42">
        <f t="shared" si="2"/>
        <v>0</v>
      </c>
      <c r="W29" s="42">
        <f t="shared" si="3"/>
        <v>0</v>
      </c>
    </row>
    <row r="30" spans="1:23">
      <c r="A30" s="30" t="s">
        <v>139</v>
      </c>
      <c r="B30" s="31" t="s">
        <v>140</v>
      </c>
      <c r="C30" s="42">
        <v>9500000</v>
      </c>
      <c r="D30" s="42">
        <v>0</v>
      </c>
      <c r="E30" s="57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136689</v>
      </c>
      <c r="O30" s="42"/>
      <c r="P30" s="42">
        <v>259589</v>
      </c>
      <c r="Q30" s="42"/>
      <c r="R30" s="58">
        <v>218222</v>
      </c>
      <c r="S30" s="42">
        <v>0</v>
      </c>
      <c r="T30" s="58">
        <v>354911</v>
      </c>
      <c r="U30" s="42"/>
      <c r="V30" s="42">
        <f t="shared" si="2"/>
        <v>969411</v>
      </c>
      <c r="W30" s="42">
        <f t="shared" si="3"/>
        <v>0</v>
      </c>
    </row>
    <row r="31" spans="1:23">
      <c r="A31" s="30" t="s">
        <v>141</v>
      </c>
      <c r="B31" s="31" t="s">
        <v>142</v>
      </c>
      <c r="C31" s="42">
        <v>110000</v>
      </c>
      <c r="D31" s="42">
        <v>0</v>
      </c>
      <c r="E31" s="57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/>
      <c r="P31" s="42">
        <v>0</v>
      </c>
      <c r="Q31" s="42"/>
      <c r="R31" s="58">
        <v>0</v>
      </c>
      <c r="S31" s="42">
        <v>0</v>
      </c>
      <c r="T31" s="58">
        <v>476610</v>
      </c>
      <c r="U31" s="42"/>
      <c r="V31" s="42">
        <f t="shared" si="2"/>
        <v>476610</v>
      </c>
      <c r="W31" s="42">
        <f t="shared" si="3"/>
        <v>0</v>
      </c>
    </row>
    <row r="32" spans="1:23">
      <c r="A32" s="30" t="s">
        <v>143</v>
      </c>
      <c r="B32" s="31" t="s">
        <v>144</v>
      </c>
      <c r="C32" s="42">
        <v>3500000</v>
      </c>
      <c r="D32" s="42">
        <v>0</v>
      </c>
      <c r="E32" s="57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/>
      <c r="P32" s="42">
        <v>0</v>
      </c>
      <c r="Q32" s="42"/>
      <c r="R32" s="58">
        <v>0</v>
      </c>
      <c r="S32" s="42">
        <v>0</v>
      </c>
      <c r="T32" s="58">
        <v>0</v>
      </c>
      <c r="U32" s="42"/>
      <c r="V32" s="42">
        <f t="shared" si="2"/>
        <v>0</v>
      </c>
      <c r="W32" s="42">
        <f t="shared" si="3"/>
        <v>0</v>
      </c>
    </row>
    <row r="33" spans="1:23">
      <c r="A33" s="30" t="s">
        <v>145</v>
      </c>
      <c r="B33" s="31" t="s">
        <v>146</v>
      </c>
      <c r="C33" s="42">
        <v>2200000</v>
      </c>
      <c r="D33" s="42">
        <v>0</v>
      </c>
      <c r="E33" s="57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/>
      <c r="P33" s="42">
        <v>0</v>
      </c>
      <c r="Q33" s="42"/>
      <c r="R33" s="58">
        <v>0</v>
      </c>
      <c r="S33" s="42">
        <v>0</v>
      </c>
      <c r="T33" s="58"/>
      <c r="U33" s="42"/>
      <c r="V33" s="42">
        <f t="shared" si="2"/>
        <v>0</v>
      </c>
      <c r="W33" s="42">
        <f t="shared" si="3"/>
        <v>0</v>
      </c>
    </row>
    <row r="34" spans="1:23">
      <c r="A34" s="30" t="s">
        <v>147</v>
      </c>
      <c r="B34" s="31" t="s">
        <v>148</v>
      </c>
      <c r="C34" s="42">
        <v>112000000</v>
      </c>
      <c r="D34" s="42">
        <v>3874514</v>
      </c>
      <c r="E34" s="57">
        <f>+'[5]cuadre por cuentas 20170101 al '!$D$149</f>
        <v>3874514</v>
      </c>
      <c r="F34" s="42">
        <v>8474616</v>
      </c>
      <c r="G34" s="42">
        <f>+'[1]cuadre por cuentas 20170201 al '!$D$141</f>
        <v>8474616</v>
      </c>
      <c r="H34" s="42">
        <v>4924935</v>
      </c>
      <c r="I34" s="42">
        <f>+'[2]cuadre por cuentas 20170301 al '!$D$143</f>
        <v>4924935</v>
      </c>
      <c r="J34" s="42">
        <v>1228482</v>
      </c>
      <c r="K34" s="57">
        <f>+'[3]cuadre por cuentas 20170401 al '!$D$143</f>
        <v>1228482</v>
      </c>
      <c r="L34" s="42">
        <v>4234617</v>
      </c>
      <c r="M34" s="42">
        <f>+'[4]cuadre por cuentas 20170501 al '!$D$143</f>
        <v>4234617</v>
      </c>
      <c r="N34" s="42">
        <v>12258153</v>
      </c>
      <c r="O34" s="57">
        <f>+'[6]cuadre por cuentas 20170601 al '!$D$143</f>
        <v>12258153</v>
      </c>
      <c r="P34" s="42">
        <v>6876513</v>
      </c>
      <c r="Q34" s="57">
        <f>+'[7]cuadre por cuentas 20170701 al '!$D$159</f>
        <v>6876513</v>
      </c>
      <c r="R34" s="58">
        <v>1299177</v>
      </c>
      <c r="S34" s="57">
        <f>+'[8]cuadre por cuentas 20170801 al '!$H$160</f>
        <v>1299177</v>
      </c>
      <c r="T34" s="58">
        <v>592470</v>
      </c>
      <c r="U34" s="57">
        <f>+'[9]cuadre por cuentas 20170901 al '!$D$160</f>
        <v>592470</v>
      </c>
      <c r="V34" s="42">
        <f t="shared" si="2"/>
        <v>43763477</v>
      </c>
      <c r="W34" s="42">
        <f t="shared" si="3"/>
        <v>43763477</v>
      </c>
    </row>
    <row r="35" spans="1:23">
      <c r="A35" s="30" t="s">
        <v>149</v>
      </c>
      <c r="B35" s="31" t="s">
        <v>150</v>
      </c>
      <c r="C35" s="42">
        <v>27500000</v>
      </c>
      <c r="D35" s="42">
        <v>1505636</v>
      </c>
      <c r="E35" s="57">
        <f>+'[5]cuadre por cuentas 20170101 al '!$D$121</f>
        <v>1505636</v>
      </c>
      <c r="F35" s="42">
        <v>1211410</v>
      </c>
      <c r="G35" s="42">
        <f>+'[1]cuadre por cuentas 20170201 al '!$D$114</f>
        <v>1211410</v>
      </c>
      <c r="H35" s="42">
        <v>1237745</v>
      </c>
      <c r="I35" s="42">
        <f>+'[2]cuadre por cuentas 20170301 al '!$D$115</f>
        <v>1237745</v>
      </c>
      <c r="J35" s="42">
        <v>1079735</v>
      </c>
      <c r="K35" s="57">
        <f>+'[3]cuadre por cuentas 20170401 al '!$D$115</f>
        <v>1079735</v>
      </c>
      <c r="L35" s="42">
        <v>1079735</v>
      </c>
      <c r="M35" s="42">
        <f>+'[4]cuadre por cuentas 20170501 al '!$D$115</f>
        <v>1079735</v>
      </c>
      <c r="N35" s="42">
        <v>1290415</v>
      </c>
      <c r="O35" s="57">
        <f>+'[6]cuadre por cuentas 20170601 al '!$D$115</f>
        <v>1290415</v>
      </c>
      <c r="P35" s="42">
        <v>921725</v>
      </c>
      <c r="Q35" s="57">
        <f>+'[7]cuadre por cuentas 20170701 al '!$D$131</f>
        <v>921725</v>
      </c>
      <c r="R35" s="58">
        <v>1106070</v>
      </c>
      <c r="S35" s="57">
        <f>+'[8]cuadre por cuentas 20170801 al '!$H$132</f>
        <v>1106070</v>
      </c>
      <c r="T35" s="58">
        <v>1764445</v>
      </c>
      <c r="U35" s="57">
        <f>+'[9]cuadre por cuentas 20170901 al '!$D$132</f>
        <v>1764445</v>
      </c>
      <c r="V35" s="42">
        <f t="shared" si="2"/>
        <v>11196916</v>
      </c>
      <c r="W35" s="42">
        <f t="shared" si="3"/>
        <v>11196916</v>
      </c>
    </row>
    <row r="36" spans="1:23">
      <c r="A36" s="30" t="s">
        <v>151</v>
      </c>
      <c r="B36" s="31" t="s">
        <v>152</v>
      </c>
      <c r="C36" s="42">
        <v>18560000</v>
      </c>
      <c r="D36" s="42">
        <v>1998832</v>
      </c>
      <c r="E36" s="57">
        <f>+'[5]cuadre por cuentas 20170101 al '!$D$123</f>
        <v>1998832</v>
      </c>
      <c r="F36" s="42">
        <v>1378527</v>
      </c>
      <c r="G36" s="42">
        <f>+'[1]cuadre por cuentas 20170201 al '!$D$116</f>
        <v>1378527</v>
      </c>
      <c r="H36" s="42">
        <v>2850703</v>
      </c>
      <c r="I36" s="42">
        <f>+'[2]cuadre por cuentas 20170301 al '!$D$117</f>
        <v>2850703</v>
      </c>
      <c r="J36" s="42">
        <v>1363543</v>
      </c>
      <c r="K36" s="57">
        <f>+'[3]cuadre por cuentas 20170401 al '!$D$117</f>
        <v>1363543</v>
      </c>
      <c r="L36" s="42">
        <v>1947920</v>
      </c>
      <c r="M36" s="42">
        <f>+'[4]cuadre por cuentas 20170501 al '!$D$117</f>
        <v>1947920</v>
      </c>
      <c r="N36" s="42">
        <v>1510186</v>
      </c>
      <c r="O36" s="57">
        <f>+'[6]cuadre por cuentas 20170601 al '!$D$117</f>
        <v>1510186</v>
      </c>
      <c r="P36" s="42">
        <v>1457194</v>
      </c>
      <c r="Q36" s="57">
        <f>+'[7]cuadre por cuentas 20170701 al '!$D$133</f>
        <v>1457194</v>
      </c>
      <c r="R36" s="58">
        <v>2884420</v>
      </c>
      <c r="S36" s="57">
        <f>+'[8]cuadre por cuentas 20170801 al '!$H$134</f>
        <v>2887471</v>
      </c>
      <c r="T36" s="58">
        <v>3978252</v>
      </c>
      <c r="U36" s="57">
        <f>+'[9]cuadre por cuentas 20170901 al '!$D$134</f>
        <v>3978252</v>
      </c>
      <c r="V36" s="42">
        <f t="shared" si="2"/>
        <v>19369577</v>
      </c>
      <c r="W36" s="42">
        <f t="shared" si="3"/>
        <v>19372628</v>
      </c>
    </row>
    <row r="37" spans="1:23">
      <c r="A37" s="30" t="s">
        <v>153</v>
      </c>
      <c r="B37" s="31" t="s">
        <v>155</v>
      </c>
      <c r="C37" s="42">
        <v>660000</v>
      </c>
      <c r="D37" s="42">
        <v>21562</v>
      </c>
      <c r="E37" s="57">
        <f>+'[5]cuadre por cuentas 20170101 al '!$D$141</f>
        <v>21562</v>
      </c>
      <c r="F37" s="42">
        <v>0</v>
      </c>
      <c r="G37" s="42">
        <v>0</v>
      </c>
      <c r="H37" s="42">
        <v>85211</v>
      </c>
      <c r="I37" s="42">
        <f>+'[2]cuadre por cuentas 20170301 al '!$D$135</f>
        <v>85211</v>
      </c>
      <c r="J37" s="42">
        <v>36519</v>
      </c>
      <c r="K37" s="57">
        <f>+'[3]cuadre por cuentas 20170401 al '!$D$135</f>
        <v>36519</v>
      </c>
      <c r="L37" s="42">
        <v>36519</v>
      </c>
      <c r="M37" s="42">
        <f>+'[4]cuadre por cuentas 20170501 al '!$D$135</f>
        <v>36519</v>
      </c>
      <c r="N37" s="42">
        <v>36519</v>
      </c>
      <c r="O37" s="57">
        <f>+'[6]cuadre por cuentas 20170601 al '!$D$135</f>
        <v>36519</v>
      </c>
      <c r="P37" s="42">
        <v>24346</v>
      </c>
      <c r="Q37" s="57">
        <f>+'[7]cuadre por cuentas 20170701 al '!$D$151</f>
        <v>24346</v>
      </c>
      <c r="R37" s="58">
        <v>12173</v>
      </c>
      <c r="S37" s="57">
        <f>+'[8]cuadre por cuentas 20170801 al '!$H$152</f>
        <v>12173</v>
      </c>
      <c r="T37" s="58">
        <v>36519</v>
      </c>
      <c r="U37" s="57">
        <f>+'[9]cuadre por cuentas 20170901 al '!$D$152</f>
        <v>36519</v>
      </c>
      <c r="V37" s="42">
        <f t="shared" si="2"/>
        <v>289368</v>
      </c>
      <c r="W37" s="42">
        <f t="shared" si="3"/>
        <v>289368</v>
      </c>
    </row>
    <row r="38" spans="1:23">
      <c r="A38" s="30" t="s">
        <v>154</v>
      </c>
      <c r="B38" s="31" t="s">
        <v>157</v>
      </c>
      <c r="C38" s="42">
        <v>2420000</v>
      </c>
      <c r="D38" s="42">
        <v>158380</v>
      </c>
      <c r="E38" s="57">
        <f>+'[5]cuadre por cuentas 20170101 al '!$D$145+'[5]cuadre por cuentas 20170101 al '!$D$132</f>
        <v>158380</v>
      </c>
      <c r="F38" s="42">
        <v>16372</v>
      </c>
      <c r="G38" s="42">
        <f>+'[1]cuadre por cuentas 20170201 al '!$D$137</f>
        <v>16372</v>
      </c>
      <c r="H38" s="42">
        <v>163720</v>
      </c>
      <c r="I38" s="42">
        <f>+'[2]cuadre por cuentas 20170301 al '!$D$126</f>
        <v>163720</v>
      </c>
      <c r="J38" s="42">
        <v>16372</v>
      </c>
      <c r="K38" s="57">
        <f>+'[3]cuadre por cuentas 20170401 al '!$D$139</f>
        <v>16372</v>
      </c>
      <c r="L38" s="42">
        <v>16372</v>
      </c>
      <c r="M38" s="42">
        <f>+'[4]cuadre por cuentas 20170501 al '!$D$139</f>
        <v>16372</v>
      </c>
      <c r="N38" s="42">
        <v>130976</v>
      </c>
      <c r="O38" s="57">
        <f>+'[6]cuadre por cuentas 20170601 al '!$D$139</f>
        <v>0</v>
      </c>
      <c r="P38" s="42">
        <v>49116</v>
      </c>
      <c r="Q38" s="57" t="e">
        <f>+'[7]cuadre por cuentas 20170701 al '!$D$155</f>
        <v>#REF!</v>
      </c>
      <c r="R38" s="58">
        <v>376556</v>
      </c>
      <c r="S38" s="57">
        <f>+'[8]cuadre por cuentas 20170801 al '!$H$156</f>
        <v>65488</v>
      </c>
      <c r="T38" s="58">
        <v>16372</v>
      </c>
      <c r="U38" s="57">
        <f>+'[9]cuadre por cuentas 20170901 al '!$D$156</f>
        <v>16372</v>
      </c>
      <c r="V38" s="42">
        <f t="shared" si="2"/>
        <v>944236</v>
      </c>
      <c r="W38" s="42" t="e">
        <f t="shared" si="3"/>
        <v>#REF!</v>
      </c>
    </row>
    <row r="39" spans="1:23">
      <c r="A39" s="30" t="s">
        <v>156</v>
      </c>
      <c r="B39" s="31" t="s">
        <v>159</v>
      </c>
      <c r="C39" s="42">
        <v>110000</v>
      </c>
      <c r="D39" s="42"/>
      <c r="E39" s="57"/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/>
      <c r="P39" s="42">
        <v>0</v>
      </c>
      <c r="Q39" s="42"/>
      <c r="R39" s="58">
        <v>0</v>
      </c>
      <c r="S39" s="42">
        <v>0</v>
      </c>
      <c r="T39" s="58">
        <v>0</v>
      </c>
      <c r="U39" s="42"/>
      <c r="V39" s="42">
        <f t="shared" si="2"/>
        <v>0</v>
      </c>
      <c r="W39" s="42">
        <f t="shared" si="3"/>
        <v>0</v>
      </c>
    </row>
    <row r="40" spans="1:23">
      <c r="A40" s="30" t="s">
        <v>158</v>
      </c>
      <c r="B40" s="31" t="s">
        <v>161</v>
      </c>
      <c r="C40" s="42">
        <v>2420000</v>
      </c>
      <c r="D40" s="42"/>
      <c r="E40" s="57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/>
      <c r="P40" s="42">
        <v>0</v>
      </c>
      <c r="Q40" s="42"/>
      <c r="R40" s="58">
        <v>0</v>
      </c>
      <c r="S40" s="42">
        <v>0</v>
      </c>
      <c r="T40" s="58">
        <v>0</v>
      </c>
      <c r="U40" s="42"/>
      <c r="V40" s="42">
        <f t="shared" si="2"/>
        <v>0</v>
      </c>
      <c r="W40" s="42">
        <f t="shared" si="3"/>
        <v>0</v>
      </c>
    </row>
    <row r="41" spans="1:23">
      <c r="A41" s="30" t="s">
        <v>181</v>
      </c>
      <c r="B41" s="31" t="s">
        <v>163</v>
      </c>
      <c r="C41" s="42">
        <v>15730000</v>
      </c>
      <c r="D41" s="42"/>
      <c r="E41" s="57"/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502965</v>
      </c>
      <c r="O41" s="42"/>
      <c r="P41" s="42">
        <v>764940</v>
      </c>
      <c r="Q41" s="42"/>
      <c r="R41" s="58">
        <v>890230</v>
      </c>
      <c r="S41" s="42">
        <v>0</v>
      </c>
      <c r="T41" s="58">
        <v>1499305</v>
      </c>
      <c r="U41" s="42"/>
      <c r="V41" s="42">
        <f t="shared" si="2"/>
        <v>3657440</v>
      </c>
      <c r="W41" s="42">
        <f t="shared" si="3"/>
        <v>0</v>
      </c>
    </row>
    <row r="42" spans="1:23">
      <c r="A42" s="30" t="s">
        <v>182</v>
      </c>
      <c r="B42" s="31" t="s">
        <v>165</v>
      </c>
      <c r="C42" s="42">
        <v>2420000</v>
      </c>
      <c r="D42" s="42"/>
      <c r="E42" s="57"/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/>
      <c r="P42" s="42">
        <v>0</v>
      </c>
      <c r="Q42" s="42"/>
      <c r="R42" s="58">
        <v>0</v>
      </c>
      <c r="S42" s="42">
        <v>0</v>
      </c>
      <c r="T42" s="58">
        <v>0</v>
      </c>
      <c r="U42" s="42"/>
      <c r="V42" s="42">
        <f t="shared" si="2"/>
        <v>0</v>
      </c>
      <c r="W42" s="42">
        <f t="shared" si="3"/>
        <v>0</v>
      </c>
    </row>
    <row r="43" spans="1:23">
      <c r="A43" s="30" t="s">
        <v>160</v>
      </c>
      <c r="B43" s="31" t="s">
        <v>166</v>
      </c>
      <c r="C43" s="42">
        <v>2420000</v>
      </c>
      <c r="D43" s="42"/>
      <c r="E43" s="57"/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/>
      <c r="P43" s="42">
        <v>0</v>
      </c>
      <c r="Q43" s="42"/>
      <c r="R43" s="58">
        <v>0</v>
      </c>
      <c r="S43" s="42">
        <v>0</v>
      </c>
      <c r="T43" s="58">
        <v>0</v>
      </c>
      <c r="U43" s="42"/>
      <c r="V43" s="42">
        <f t="shared" si="2"/>
        <v>0</v>
      </c>
      <c r="W43" s="42">
        <f t="shared" si="3"/>
        <v>0</v>
      </c>
    </row>
    <row r="44" spans="1:23">
      <c r="A44" s="30" t="s">
        <v>162</v>
      </c>
      <c r="B44" s="31" t="s">
        <v>167</v>
      </c>
      <c r="C44" s="42">
        <v>18150000</v>
      </c>
      <c r="D44" s="42">
        <v>1157628</v>
      </c>
      <c r="E44" s="57">
        <f>+'[5]cuadre por cuentas 20170101 al '!$D$142</f>
        <v>1157628</v>
      </c>
      <c r="F44" s="42">
        <v>911160</v>
      </c>
      <c r="G44" s="42">
        <f>+'[1]cuadre por cuentas 20170201 al '!$D$134</f>
        <v>911160</v>
      </c>
      <c r="H44" s="42">
        <v>951656</v>
      </c>
      <c r="I44" s="42">
        <f>+'[2]cuadre por cuentas 20170301 al '!$D$136</f>
        <v>951656</v>
      </c>
      <c r="J44" s="42">
        <v>830168</v>
      </c>
      <c r="K44" s="57">
        <f>+'[3]cuadre por cuentas 20170401 al '!$D$136</f>
        <v>830168</v>
      </c>
      <c r="L44" s="42">
        <v>830168</v>
      </c>
      <c r="M44" s="42">
        <f>+'[4]cuadre por cuentas 20170501 al '!$D$136</f>
        <v>830168</v>
      </c>
      <c r="N44" s="42">
        <v>4916</v>
      </c>
      <c r="O44" s="57">
        <f>+'[6]cuadre por cuentas 20170601 al '!$D$136</f>
        <v>994610</v>
      </c>
      <c r="P44" s="42">
        <v>708680</v>
      </c>
      <c r="Q44" s="57">
        <f>+'[7]cuadre por cuentas 20170701 al '!$D$152</f>
        <v>708680</v>
      </c>
      <c r="R44" s="58">
        <v>850416</v>
      </c>
      <c r="S44" s="57">
        <f>+'[8]cuadre por cuentas 20170801 al '!$H$153</f>
        <v>850416</v>
      </c>
      <c r="T44" s="58">
        <v>1356616</v>
      </c>
      <c r="U44" s="57">
        <f>+'[9]cuadre por cuentas 20170901 al '!$D$153</f>
        <v>1356616</v>
      </c>
      <c r="V44" s="42">
        <f t="shared" si="2"/>
        <v>7601408</v>
      </c>
      <c r="W44" s="42">
        <f t="shared" si="3"/>
        <v>8591102</v>
      </c>
    </row>
    <row r="45" spans="1:23">
      <c r="A45" s="30" t="s">
        <v>164</v>
      </c>
      <c r="B45" s="31" t="s">
        <v>168</v>
      </c>
      <c r="C45" s="42">
        <v>15000000</v>
      </c>
      <c r="D45" s="42">
        <v>229348</v>
      </c>
      <c r="E45" s="42">
        <f>+'[5]cuadre por cuentas 20170101 al '!$D$152</f>
        <v>229348</v>
      </c>
      <c r="F45" s="42">
        <v>456257</v>
      </c>
      <c r="G45" s="42">
        <f>+'[1]cuadre por cuentas 20170201 al '!$D$144</f>
        <v>456257</v>
      </c>
      <c r="H45" s="42">
        <v>1286011</v>
      </c>
      <c r="I45" s="42">
        <f>+'[2]cuadre por cuentas 20170301 al '!$D$146</f>
        <v>1286011</v>
      </c>
      <c r="J45" s="42">
        <v>790527</v>
      </c>
      <c r="K45" s="57">
        <f>+'[3]cuadre por cuentas 20170401 al '!$D$146</f>
        <v>790527</v>
      </c>
      <c r="L45" s="42">
        <v>1887193</v>
      </c>
      <c r="M45" s="42">
        <f>+'[4]cuadre por cuentas 20170501 al '!$D$146</f>
        <v>1887193</v>
      </c>
      <c r="N45" s="42">
        <v>158794</v>
      </c>
      <c r="O45" s="57">
        <f>+'[6]cuadre por cuentas 20170601 al '!$D$146</f>
        <v>734273</v>
      </c>
      <c r="P45" s="42">
        <v>89524</v>
      </c>
      <c r="Q45" s="57">
        <f>+'[7]cuadre por cuentas 20170701 al '!$D$162</f>
        <v>1207553</v>
      </c>
      <c r="R45" s="58">
        <v>87594</v>
      </c>
      <c r="S45" s="57">
        <f>+'[8]cuadre por cuentas 20170801 al '!$H$163</f>
        <v>1052411</v>
      </c>
      <c r="T45" s="58">
        <v>11546</v>
      </c>
      <c r="U45" s="57">
        <f>+'[9]cuadre por cuentas 20170901 al '!$D$163</f>
        <v>1607556</v>
      </c>
      <c r="V45" s="42">
        <f t="shared" si="2"/>
        <v>4996794</v>
      </c>
      <c r="W45" s="42">
        <f t="shared" si="3"/>
        <v>9251129</v>
      </c>
    </row>
    <row r="46" spans="1:23">
      <c r="A46" s="30" t="s">
        <v>191</v>
      </c>
      <c r="B46" s="31" t="s">
        <v>192</v>
      </c>
      <c r="C46" s="42"/>
      <c r="D46" s="42">
        <v>80717893</v>
      </c>
      <c r="E46" s="42">
        <f>+'[5]cuadre por cuentas 20170101 al '!$D$155</f>
        <v>80717893</v>
      </c>
      <c r="F46" s="42">
        <v>104650152</v>
      </c>
      <c r="G46" s="42">
        <f>+'[1]cuadre por cuentas 20170201 al '!$D$148</f>
        <v>104650152</v>
      </c>
      <c r="H46" s="42">
        <v>103976015</v>
      </c>
      <c r="I46" s="42">
        <f>+'[2]cuadre por cuentas 20170301 al '!$D$150</f>
        <v>103976015</v>
      </c>
      <c r="J46" s="42">
        <v>77347551</v>
      </c>
      <c r="K46" s="42">
        <f>+'[3]cuadre por cuentas 20170401 al '!$D$151</f>
        <v>77347551</v>
      </c>
      <c r="L46" s="42">
        <v>89063264</v>
      </c>
      <c r="M46" s="42">
        <f>+'[4]cuadre por cuentas 20170501 al '!$D$151</f>
        <v>89063264</v>
      </c>
      <c r="N46" s="42"/>
      <c r="O46" s="42">
        <f>+'[6]cuadre por cuentas 20170601 al '!$D$104+'[6]cuadre por cuentas 20170601 al '!$D$109+'[6]cuadre por cuentas 20170601 al '!$D$112+'[6]cuadre por cuentas 20170601 al '!$D$116+'[6]cuadre por cuentas 20170601 al '!$D$121+'[6]cuadre por cuentas 20170601 al '!$D$126+'[6]cuadre por cuentas 20170601 al '!$D$134+'[6]cuadre por cuentas 20170601 al '!$D$141+'[6]cuadre por cuentas 20170601 al '!$D$145+'[6]cuadre por cuentas 20170601 al '!$D$147</f>
        <v>77753805</v>
      </c>
      <c r="P46" s="42"/>
      <c r="Q46" s="42" t="e">
        <f>+'[7]cuadre por cuentas 20170701 al '!$D$120+'[7]cuadre por cuentas 20170701 al '!$D$125+'[7]cuadre por cuentas 20170701 al '!$D$128+'[7]cuadre por cuentas 20170701 al '!$D$132+'[7]cuadre por cuentas 20170701 al '!$D$137+'[7]cuadre por cuentas 20170701 al '!$D$142+'[7]cuadre por cuentas 20170701 al '!$D$150+'[7]cuadre por cuentas 20170701 al '!$D$157+'[7]cuadre por cuentas 20170701 al '!$D$161+'[7]cuadre por cuentas 20170701 al '!$D$163</f>
        <v>#REF!</v>
      </c>
      <c r="R46" s="58"/>
      <c r="S46" s="42">
        <f>+'[8]cuadre por cuentas 20170801 al '!$H$168</f>
        <v>88095434</v>
      </c>
      <c r="T46" s="58"/>
      <c r="U46" s="42">
        <f>+'[9]cuadre por cuentas 20170901 al '!$D$168</f>
        <v>79192544</v>
      </c>
      <c r="V46" s="42">
        <f t="shared" si="2"/>
        <v>455754875</v>
      </c>
      <c r="W46" s="42" t="e">
        <f t="shared" si="3"/>
        <v>#REF!</v>
      </c>
    </row>
    <row r="47" spans="1:23">
      <c r="A47" s="35"/>
      <c r="B47" s="36" t="s">
        <v>169</v>
      </c>
      <c r="C47" s="43">
        <f>+C3+C5</f>
        <v>9230000000</v>
      </c>
      <c r="D47" s="43">
        <f t="shared" ref="D47:U47" si="4">+D3+D5</f>
        <v>285238529</v>
      </c>
      <c r="E47" s="43">
        <f>+E3+E5</f>
        <v>285238529</v>
      </c>
      <c r="F47" s="43">
        <f t="shared" si="4"/>
        <v>377089433</v>
      </c>
      <c r="G47" s="43">
        <f t="shared" si="4"/>
        <v>377089433</v>
      </c>
      <c r="H47" s="43">
        <f t="shared" si="4"/>
        <v>554921901</v>
      </c>
      <c r="I47" s="43">
        <f t="shared" si="4"/>
        <v>554921901</v>
      </c>
      <c r="J47" s="43">
        <f t="shared" si="4"/>
        <v>446967303</v>
      </c>
      <c r="K47" s="43">
        <f t="shared" si="4"/>
        <v>446967303</v>
      </c>
      <c r="L47" s="43">
        <f>+L3+L5</f>
        <v>462840511</v>
      </c>
      <c r="M47" s="43">
        <f t="shared" si="4"/>
        <v>462840511</v>
      </c>
      <c r="N47" s="43">
        <f t="shared" si="4"/>
        <v>423119412</v>
      </c>
      <c r="O47" s="43">
        <f t="shared" si="4"/>
        <v>419168279</v>
      </c>
      <c r="P47" s="43">
        <f t="shared" si="4"/>
        <v>292886691</v>
      </c>
      <c r="Q47" s="43" t="e">
        <f t="shared" si="4"/>
        <v>#REF!</v>
      </c>
      <c r="R47" s="43">
        <f t="shared" si="4"/>
        <v>493052677</v>
      </c>
      <c r="S47" s="43">
        <f t="shared" si="4"/>
        <v>499185293</v>
      </c>
      <c r="T47" s="43">
        <f t="shared" si="4"/>
        <v>293146641</v>
      </c>
      <c r="U47" s="43">
        <f t="shared" si="4"/>
        <v>263097250</v>
      </c>
      <c r="V47" s="43">
        <f>+V3+V5</f>
        <v>3629263098</v>
      </c>
      <c r="W47" s="43" t="e">
        <f>+W3+W5</f>
        <v>#REF!</v>
      </c>
    </row>
    <row r="48" spans="1:23">
      <c r="A48" s="28">
        <v>2</v>
      </c>
      <c r="B48" s="29" t="s">
        <v>170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1">
        <f>+E48+G48+I48+K48+M48</f>
        <v>0</v>
      </c>
    </row>
    <row r="49" spans="1:23">
      <c r="A49" s="28">
        <v>2.1</v>
      </c>
      <c r="B49" s="29" t="s">
        <v>5</v>
      </c>
      <c r="C49" s="42">
        <v>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1">
        <f>+E49+G49+I49+K49+M49</f>
        <v>0</v>
      </c>
    </row>
    <row r="50" spans="1:23">
      <c r="A50" s="28">
        <v>2.2000000000000002</v>
      </c>
      <c r="B50" s="29" t="s">
        <v>6</v>
      </c>
      <c r="C50" s="41">
        <v>10000000</v>
      </c>
      <c r="D50" s="41">
        <v>0</v>
      </c>
      <c r="E50" s="41"/>
      <c r="F50" s="42"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f>D50+F50</f>
        <v>0</v>
      </c>
      <c r="W50" s="41">
        <f>+E50+G50+I50+K50+M50</f>
        <v>0</v>
      </c>
    </row>
    <row r="51" spans="1:23">
      <c r="A51" s="28">
        <v>2.2999999999999998</v>
      </c>
      <c r="B51" s="29" t="s">
        <v>7</v>
      </c>
      <c r="C51" s="41">
        <f>SUM(C52:C55)</f>
        <v>3000000000</v>
      </c>
      <c r="D51" s="41">
        <f t="shared" ref="D51:U51" si="5">SUM(D52:D55)</f>
        <v>190554448</v>
      </c>
      <c r="E51" s="41">
        <f t="shared" si="5"/>
        <v>190554448</v>
      </c>
      <c r="F51" s="41">
        <f t="shared" si="5"/>
        <v>220809485</v>
      </c>
      <c r="G51" s="41">
        <f t="shared" si="5"/>
        <v>220809485</v>
      </c>
      <c r="H51" s="41">
        <f t="shared" si="5"/>
        <v>398505277</v>
      </c>
      <c r="I51" s="41">
        <f t="shared" si="5"/>
        <v>398505277</v>
      </c>
      <c r="J51" s="41">
        <f t="shared" si="5"/>
        <v>341003083</v>
      </c>
      <c r="K51" s="41">
        <f t="shared" si="5"/>
        <v>341003083</v>
      </c>
      <c r="L51" s="41">
        <f t="shared" si="5"/>
        <v>308662673</v>
      </c>
      <c r="M51" s="41">
        <f t="shared" si="5"/>
        <v>308662673</v>
      </c>
      <c r="N51" s="41">
        <f t="shared" si="5"/>
        <v>181263017</v>
      </c>
      <c r="O51" s="41">
        <f t="shared" si="5"/>
        <v>187280565</v>
      </c>
      <c r="P51" s="41">
        <f t="shared" si="5"/>
        <v>193090622</v>
      </c>
      <c r="Q51" s="41">
        <f t="shared" si="5"/>
        <v>192971194</v>
      </c>
      <c r="R51" s="41">
        <f t="shared" si="5"/>
        <v>223367753</v>
      </c>
      <c r="S51" s="41">
        <f t="shared" si="5"/>
        <v>239017785</v>
      </c>
      <c r="T51" s="41">
        <f t="shared" si="5"/>
        <v>287496805</v>
      </c>
      <c r="U51" s="41">
        <f t="shared" si="5"/>
        <v>269986626</v>
      </c>
      <c r="V51" s="41">
        <f>SUM(V52:V55)</f>
        <v>2344753163</v>
      </c>
      <c r="W51" s="41">
        <f>SUM(W52:W55)</f>
        <v>2348791136</v>
      </c>
    </row>
    <row r="52" spans="1:23">
      <c r="A52" s="30" t="s">
        <v>171</v>
      </c>
      <c r="B52" s="32" t="s">
        <v>172</v>
      </c>
      <c r="C52" s="42">
        <v>1300000000</v>
      </c>
      <c r="D52" s="42">
        <v>65545371</v>
      </c>
      <c r="E52" s="42">
        <f>+'[5]cuadre por cuentas 20170101 al '!$D$136</f>
        <v>65545371</v>
      </c>
      <c r="F52" s="42">
        <v>72648514</v>
      </c>
      <c r="G52" s="42">
        <f>+'[1]cuadre por cuentas 20170201 al '!$D$129</f>
        <v>72648514</v>
      </c>
      <c r="H52" s="42">
        <v>98077252</v>
      </c>
      <c r="I52" s="42">
        <f>+'[2]cuadre por cuentas 20170301 al '!$D$130</f>
        <v>98077252</v>
      </c>
      <c r="J52" s="42">
        <v>68372059</v>
      </c>
      <c r="K52" s="42">
        <f>+'[3]cuadre por cuentas 20170401 al '!$D$130</f>
        <v>68372059</v>
      </c>
      <c r="L52" s="42">
        <v>68428433</v>
      </c>
      <c r="M52" s="42">
        <f>+'[4]cuadre por cuentas 20170501 al '!$D$130</f>
        <v>68428433</v>
      </c>
      <c r="N52" s="42">
        <v>61580307</v>
      </c>
      <c r="O52" s="42">
        <f>+'[6]cuadre por cuentas 20170601 al '!$D$130</f>
        <v>64763607</v>
      </c>
      <c r="P52" s="42">
        <v>69261558</v>
      </c>
      <c r="Q52" s="42">
        <f>+'[7]cuadre por cuentas 20170701 al '!$D$146</f>
        <v>68952501</v>
      </c>
      <c r="R52" s="42">
        <v>66945857</v>
      </c>
      <c r="S52" s="42">
        <f>+'[8]cuadre por cuentas 20170801 al '!$H$183</f>
        <v>77299343</v>
      </c>
      <c r="T52" s="42">
        <v>95807271</v>
      </c>
      <c r="U52" s="42">
        <f>+'[9]cuadre por cuentas 20170901 al '!$D$183</f>
        <v>85453785</v>
      </c>
      <c r="V52" s="42">
        <f>D52+F52+H52+J52+L52+N52+P52+R52+T52</f>
        <v>666666622</v>
      </c>
      <c r="W52" s="42">
        <f>+E52+G52+I52+K52+M52+O52+Q52+S52+U52</f>
        <v>669540865</v>
      </c>
    </row>
    <row r="53" spans="1:23">
      <c r="A53" s="30" t="s">
        <v>173</v>
      </c>
      <c r="B53" s="32" t="s">
        <v>174</v>
      </c>
      <c r="C53" s="42">
        <v>470000000</v>
      </c>
      <c r="D53" s="42">
        <v>52250659</v>
      </c>
      <c r="E53" s="42">
        <f>+'[5]cuadre por cuentas 20170101 al '!$D$135+'[5]cuadre por cuentas 20170101 al '!$D$137</f>
        <v>52250659</v>
      </c>
      <c r="F53" s="42">
        <v>54622977</v>
      </c>
      <c r="G53" s="42">
        <f>+'[1]cuadre por cuentas 20170201 al '!$D$128+'[1]cuadre por cuentas 20170201 al '!$D$130</f>
        <v>54622977</v>
      </c>
      <c r="H53" s="42">
        <v>89619990</v>
      </c>
      <c r="I53" s="42">
        <f>+'[2]cuadre por cuentas 20170301 al '!$D$129+'[2]cuadre por cuentas 20170301 al '!$D$131</f>
        <v>89619990</v>
      </c>
      <c r="J53" s="42">
        <v>66913228</v>
      </c>
      <c r="K53" s="42">
        <f>+'[3]cuadre por cuentas 20170401 al '!$D$129+'[3]cuadre por cuentas 20170401 al '!$D$131</f>
        <v>66913228</v>
      </c>
      <c r="L53" s="42">
        <v>68764082</v>
      </c>
      <c r="M53" s="42">
        <f>+'[4]cuadre por cuentas 20170501 al '!$D$129+'[4]cuadre por cuentas 20170501 al '!$D$131</f>
        <v>68764082</v>
      </c>
      <c r="N53" s="42">
        <v>36667836</v>
      </c>
      <c r="O53" s="42">
        <f>+'[6]cuadre por cuentas 20170601 al '!$D$129+'[6]cuadre por cuentas 20170601 al '!$D$131</f>
        <v>57343883</v>
      </c>
      <c r="P53" s="42">
        <v>54956511</v>
      </c>
      <c r="Q53" s="42">
        <f>+'[7]cuadre por cuentas 20170701 al '!$D$145+'[7]cuadre por cuentas 20170701 al '!$D$147</f>
        <v>54866370</v>
      </c>
      <c r="R53" s="42">
        <v>60812079</v>
      </c>
      <c r="S53" s="42">
        <f>+'[8]cuadre por cuentas 20170801 al '!$H$184+'[8]cuadre por cuentas 20170801 al '!$H$186</f>
        <v>66108625</v>
      </c>
      <c r="T53" s="42">
        <v>87333995</v>
      </c>
      <c r="U53" s="42">
        <f>+'[9]cuadre por cuentas 20170901 al '!$D$184+'[9]cuadre por cuentas 20170901 al '!$D$186</f>
        <v>80177302</v>
      </c>
      <c r="V53" s="42">
        <f t="shared" ref="V53:V55" si="6">D53+F53+H53+J53+L53+N53+P53+R53+T53</f>
        <v>571941357</v>
      </c>
      <c r="W53" s="42">
        <f t="shared" ref="W53:W56" si="7">+E53+G53+I53+K53+M53+O53+Q53+S53+U53</f>
        <v>590667116</v>
      </c>
    </row>
    <row r="54" spans="1:23">
      <c r="A54" s="33" t="s">
        <v>175</v>
      </c>
      <c r="B54" s="32" t="s">
        <v>177</v>
      </c>
      <c r="C54" s="42">
        <v>610000000</v>
      </c>
      <c r="D54" s="42">
        <v>27327964</v>
      </c>
      <c r="E54" s="42">
        <f>+'[5]cuadre por cuentas 20170101 al '!$D$139</f>
        <v>27327964</v>
      </c>
      <c r="F54" s="42">
        <v>34861389</v>
      </c>
      <c r="G54" s="42">
        <f>+'[1]cuadre por cuentas 20170201 al '!$D$132</f>
        <v>34861389</v>
      </c>
      <c r="H54" s="42">
        <v>79292369</v>
      </c>
      <c r="I54" s="42">
        <f>+'[2]cuadre por cuentas 20170301 al '!$D$133</f>
        <v>79292369</v>
      </c>
      <c r="J54" s="42">
        <v>75945247</v>
      </c>
      <c r="K54" s="42">
        <f>+'[3]cuadre por cuentas 20170401 al '!$D$133</f>
        <v>75945247</v>
      </c>
      <c r="L54" s="42">
        <v>68968892</v>
      </c>
      <c r="M54" s="42">
        <f>+'[4]cuadre por cuentas 20170501 al '!$D$133</f>
        <v>68968892</v>
      </c>
      <c r="N54" s="42">
        <v>45784103</v>
      </c>
      <c r="O54" s="42">
        <f>+'[6]cuadre por cuentas 20170601 al '!$D$133</f>
        <v>30350033</v>
      </c>
      <c r="P54" s="42">
        <v>32166646</v>
      </c>
      <c r="Q54" s="42">
        <f>+'[7]cuadre por cuentas 20170701 al '!$D$149</f>
        <v>32166646</v>
      </c>
      <c r="R54" s="42">
        <v>43309424</v>
      </c>
      <c r="S54" s="42">
        <f>+'[8]cuadre por cuentas 20170801 al '!$H$185</f>
        <v>43309424</v>
      </c>
      <c r="T54" s="42">
        <v>47710547</v>
      </c>
      <c r="U54" s="42">
        <f>+'[9]cuadre por cuentas 20170901 al '!$D$185</f>
        <v>47710547</v>
      </c>
      <c r="V54" s="42">
        <f t="shared" si="6"/>
        <v>455366581</v>
      </c>
      <c r="W54" s="42">
        <f t="shared" si="7"/>
        <v>439932511</v>
      </c>
    </row>
    <row r="55" spans="1:23">
      <c r="A55" s="30" t="s">
        <v>176</v>
      </c>
      <c r="B55" s="32" t="s">
        <v>178</v>
      </c>
      <c r="C55" s="42">
        <v>620000000</v>
      </c>
      <c r="D55" s="42">
        <v>45430454</v>
      </c>
      <c r="E55" s="42">
        <f>+'[5]cuadre por cuentas 20170101 al '!$D$138</f>
        <v>45430454</v>
      </c>
      <c r="F55" s="42">
        <v>58676605</v>
      </c>
      <c r="G55" s="42">
        <f>+'[1]cuadre por cuentas 20170201 al '!$D$131</f>
        <v>58676605</v>
      </c>
      <c r="H55" s="42">
        <v>131515666</v>
      </c>
      <c r="I55" s="42">
        <f>+'[2]cuadre por cuentas 20170301 al '!$D$132</f>
        <v>131515666</v>
      </c>
      <c r="J55" s="42">
        <v>129772549</v>
      </c>
      <c r="K55" s="42">
        <f>+'[3]cuadre por cuentas 20170401 al '!$D$132</f>
        <v>129772549</v>
      </c>
      <c r="L55" s="42">
        <v>102501266</v>
      </c>
      <c r="M55" s="42">
        <f>+'[4]cuadre por cuentas 20170501 al '!$D$132</f>
        <v>102501266</v>
      </c>
      <c r="N55" s="42">
        <v>37230771</v>
      </c>
      <c r="O55" s="42">
        <f>+'[6]cuadre por cuentas 20170601 al '!$D$132</f>
        <v>34823042</v>
      </c>
      <c r="P55" s="42">
        <v>36705907</v>
      </c>
      <c r="Q55" s="42">
        <f>+'[7]cuadre por cuentas 20170701 al '!$D$148</f>
        <v>36985677</v>
      </c>
      <c r="R55" s="42">
        <v>52300393</v>
      </c>
      <c r="S55" s="42">
        <f>+'[8]cuadre por cuentas 20170801 al '!$H$187</f>
        <v>52300393</v>
      </c>
      <c r="T55" s="42">
        <v>56644992</v>
      </c>
      <c r="U55" s="42">
        <f>+'[9]cuadre por cuentas 20170901 al '!$D$187</f>
        <v>56644992</v>
      </c>
      <c r="V55" s="42">
        <f t="shared" si="6"/>
        <v>650778603</v>
      </c>
      <c r="W55" s="42">
        <f t="shared" si="7"/>
        <v>648650644</v>
      </c>
    </row>
    <row r="56" spans="1:23">
      <c r="A56" s="28">
        <v>2.4</v>
      </c>
      <c r="B56" s="29" t="s">
        <v>8</v>
      </c>
      <c r="C56" s="41">
        <v>12000000</v>
      </c>
      <c r="D56" s="41">
        <v>452897</v>
      </c>
      <c r="E56" s="41">
        <v>452897</v>
      </c>
      <c r="F56" s="42">
        <v>687945</v>
      </c>
      <c r="G56" s="42">
        <v>687945</v>
      </c>
      <c r="H56" s="42">
        <v>0</v>
      </c>
      <c r="I56" s="42">
        <v>0</v>
      </c>
      <c r="J56" s="42"/>
      <c r="K56" s="42">
        <v>0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>
        <f>D56+F56+H56+J56+L56+N56+P56+R56+T56</f>
        <v>1140842</v>
      </c>
      <c r="W56" s="42">
        <f t="shared" si="7"/>
        <v>1140842</v>
      </c>
    </row>
    <row r="57" spans="1:23">
      <c r="A57" s="28">
        <v>2.5</v>
      </c>
      <c r="B57" s="29" t="s">
        <v>9</v>
      </c>
      <c r="C57" s="41">
        <v>1000000</v>
      </c>
      <c r="D57" s="41">
        <v>0</v>
      </c>
      <c r="E57" s="41">
        <v>0</v>
      </c>
      <c r="F57" s="42">
        <v>0</v>
      </c>
      <c r="G57" s="42"/>
      <c r="H57" s="42"/>
      <c r="I57" s="42">
        <v>0</v>
      </c>
      <c r="J57" s="42"/>
      <c r="K57" s="42">
        <v>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f t="shared" ref="V57" si="8">D57+F57+H57+J57+L57+N57+P57+R57+T57</f>
        <v>0</v>
      </c>
      <c r="W57" s="41">
        <f>+E57+G57+I57+K57+M57</f>
        <v>0</v>
      </c>
    </row>
    <row r="58" spans="1:23">
      <c r="A58" s="35"/>
      <c r="B58" s="36" t="s">
        <v>179</v>
      </c>
      <c r="C58" s="43">
        <f>C49+C50+C51+C56+C57</f>
        <v>3023000000</v>
      </c>
      <c r="D58" s="43">
        <f>D49+D50+D51+D56+D57</f>
        <v>191007345</v>
      </c>
      <c r="E58" s="43">
        <f t="shared" ref="E58:U58" si="9">E49+E50+E51+E56+E57</f>
        <v>191007345</v>
      </c>
      <c r="F58" s="43">
        <f t="shared" si="9"/>
        <v>221497430</v>
      </c>
      <c r="G58" s="43">
        <f>G49+G50+G51+G56+G57</f>
        <v>221497430</v>
      </c>
      <c r="H58" s="43">
        <f t="shared" si="9"/>
        <v>398505277</v>
      </c>
      <c r="I58" s="43">
        <f t="shared" si="9"/>
        <v>398505277</v>
      </c>
      <c r="J58" s="43">
        <f t="shared" si="9"/>
        <v>341003083</v>
      </c>
      <c r="K58" s="43">
        <f t="shared" si="9"/>
        <v>341003083</v>
      </c>
      <c r="L58" s="43">
        <f t="shared" si="9"/>
        <v>308662673</v>
      </c>
      <c r="M58" s="43">
        <f t="shared" si="9"/>
        <v>308662673</v>
      </c>
      <c r="N58" s="43">
        <f t="shared" si="9"/>
        <v>181263017</v>
      </c>
      <c r="O58" s="43">
        <f t="shared" si="9"/>
        <v>187280565</v>
      </c>
      <c r="P58" s="43">
        <f t="shared" si="9"/>
        <v>193090622</v>
      </c>
      <c r="Q58" s="43">
        <f t="shared" si="9"/>
        <v>192971194</v>
      </c>
      <c r="R58" s="43">
        <f t="shared" si="9"/>
        <v>223367753</v>
      </c>
      <c r="S58" s="43">
        <f t="shared" si="9"/>
        <v>239017785</v>
      </c>
      <c r="T58" s="43">
        <f t="shared" si="9"/>
        <v>287496805</v>
      </c>
      <c r="U58" s="43">
        <f t="shared" si="9"/>
        <v>269986626</v>
      </c>
      <c r="V58" s="43">
        <f>V49+V50+V51+V56+V57</f>
        <v>2345894005</v>
      </c>
      <c r="W58" s="43">
        <f>W49+W50+W51+W56+W57</f>
        <v>2349931978</v>
      </c>
    </row>
    <row r="59" spans="1:23">
      <c r="A59" s="124" t="s">
        <v>183</v>
      </c>
      <c r="B59" s="124"/>
      <c r="C59" s="44">
        <f>+C47+C58</f>
        <v>12253000000</v>
      </c>
      <c r="D59" s="44">
        <f t="shared" ref="D59:U59" si="10">+D47+D58</f>
        <v>476245874</v>
      </c>
      <c r="E59" s="44">
        <f t="shared" si="10"/>
        <v>476245874</v>
      </c>
      <c r="F59" s="44">
        <f t="shared" si="10"/>
        <v>598586863</v>
      </c>
      <c r="G59" s="44">
        <f t="shared" si="10"/>
        <v>598586863</v>
      </c>
      <c r="H59" s="44">
        <f t="shared" si="10"/>
        <v>953427178</v>
      </c>
      <c r="I59" s="44">
        <f t="shared" si="10"/>
        <v>953427178</v>
      </c>
      <c r="J59" s="44">
        <f t="shared" si="10"/>
        <v>787970386</v>
      </c>
      <c r="K59" s="44">
        <f t="shared" si="10"/>
        <v>787970386</v>
      </c>
      <c r="L59" s="44">
        <f t="shared" si="10"/>
        <v>771503184</v>
      </c>
      <c r="M59" s="44">
        <f t="shared" si="10"/>
        <v>771503184</v>
      </c>
      <c r="N59" s="44">
        <f t="shared" si="10"/>
        <v>604382429</v>
      </c>
      <c r="O59" s="44">
        <f t="shared" si="10"/>
        <v>606448844</v>
      </c>
      <c r="P59" s="44">
        <f t="shared" si="10"/>
        <v>485977313</v>
      </c>
      <c r="Q59" s="44" t="e">
        <f t="shared" si="10"/>
        <v>#REF!</v>
      </c>
      <c r="R59" s="44">
        <f t="shared" si="10"/>
        <v>716420430</v>
      </c>
      <c r="S59" s="44">
        <f t="shared" si="10"/>
        <v>738203078</v>
      </c>
      <c r="T59" s="44">
        <f t="shared" si="10"/>
        <v>580643446</v>
      </c>
      <c r="U59" s="44">
        <f t="shared" si="10"/>
        <v>533083876</v>
      </c>
      <c r="V59" s="44">
        <f>+V47+V58</f>
        <v>5975157103</v>
      </c>
      <c r="W59" s="44" t="e">
        <f>+W47+W58</f>
        <v>#REF!</v>
      </c>
    </row>
  </sheetData>
  <mergeCells count="24">
    <mergeCell ref="S1:S2"/>
    <mergeCell ref="T1:T2"/>
    <mergeCell ref="U1:U2"/>
    <mergeCell ref="V1:V2"/>
    <mergeCell ref="W1:W2"/>
    <mergeCell ref="A59:B59"/>
    <mergeCell ref="M1:M2"/>
    <mergeCell ref="N1:N2"/>
    <mergeCell ref="O1:O2"/>
    <mergeCell ref="P1:P2"/>
    <mergeCell ref="A1:A2"/>
    <mergeCell ref="B1:B2"/>
    <mergeCell ref="C1:C2"/>
    <mergeCell ref="D1:D2"/>
    <mergeCell ref="E1:E2"/>
    <mergeCell ref="F1:F2"/>
    <mergeCell ref="Q1:Q2"/>
    <mergeCell ref="R1:R2"/>
    <mergeCell ref="G1:G2"/>
    <mergeCell ref="H1:H2"/>
    <mergeCell ref="I1:I2"/>
    <mergeCell ref="J1:J2"/>
    <mergeCell ref="K1:K2"/>
    <mergeCell ref="L1:L2"/>
  </mergeCells>
  <pageMargins left="0.86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="89" zoomScaleNormal="89" workbookViewId="0">
      <selection activeCell="A6" sqref="A6"/>
    </sheetView>
  </sheetViews>
  <sheetFormatPr baseColWidth="10" defaultRowHeight="15"/>
  <cols>
    <col min="1" max="1" width="3.140625" customWidth="1"/>
    <col min="2" max="2" width="11.5703125" bestFit="1" customWidth="1"/>
    <col min="3" max="3" width="33" customWidth="1"/>
    <col min="4" max="4" width="27.7109375" customWidth="1"/>
    <col min="5" max="5" width="16.5703125" customWidth="1"/>
    <col min="6" max="6" width="16.140625" customWidth="1"/>
    <col min="7" max="7" width="9.28515625" customWidth="1"/>
    <col min="8" max="8" width="18.28515625" customWidth="1"/>
    <col min="9" max="9" width="15.5703125" customWidth="1"/>
    <col min="10" max="10" width="17.28515625" customWidth="1"/>
    <col min="11" max="11" width="19" customWidth="1"/>
    <col min="12" max="12" width="16.5703125" customWidth="1"/>
    <col min="13" max="14" width="15.7109375" customWidth="1"/>
    <col min="15" max="15" width="17.28515625" customWidth="1"/>
    <col min="16" max="16" width="17.5703125" customWidth="1"/>
    <col min="17" max="17" width="16.5703125" customWidth="1"/>
    <col min="18" max="18" width="26" customWidth="1"/>
  </cols>
  <sheetData>
    <row r="1" spans="1:20" ht="25.5" customHeight="1">
      <c r="A1" s="94"/>
      <c r="B1" s="109" t="s">
        <v>22</v>
      </c>
      <c r="C1" s="129" t="s">
        <v>23</v>
      </c>
      <c r="D1" s="129" t="s">
        <v>85</v>
      </c>
      <c r="E1" s="132" t="s">
        <v>196</v>
      </c>
      <c r="F1" s="133"/>
      <c r="G1" s="129" t="s">
        <v>184</v>
      </c>
      <c r="H1" s="129" t="s">
        <v>187</v>
      </c>
      <c r="I1" s="129" t="s">
        <v>185</v>
      </c>
      <c r="J1" s="129" t="s">
        <v>186</v>
      </c>
      <c r="K1" s="129" t="s">
        <v>188</v>
      </c>
      <c r="L1" s="129" t="s">
        <v>189</v>
      </c>
      <c r="M1" s="129" t="s">
        <v>190</v>
      </c>
      <c r="N1" s="129" t="s">
        <v>193</v>
      </c>
      <c r="O1" s="129" t="s">
        <v>194</v>
      </c>
      <c r="P1" s="129" t="s">
        <v>199</v>
      </c>
      <c r="Q1" s="129" t="s">
        <v>202</v>
      </c>
      <c r="R1" s="129" t="s">
        <v>239</v>
      </c>
    </row>
    <row r="2" spans="1:20" ht="35.25" customHeight="1">
      <c r="A2" s="94"/>
      <c r="B2" s="110"/>
      <c r="C2" s="130"/>
      <c r="D2" s="130"/>
      <c r="E2" s="84" t="s">
        <v>197</v>
      </c>
      <c r="F2" s="84" t="s">
        <v>198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0">
      <c r="A3" s="94"/>
      <c r="B3" s="85"/>
      <c r="C3" s="95" t="s">
        <v>10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78"/>
    </row>
    <row r="4" spans="1:20">
      <c r="A4" s="94"/>
      <c r="B4" s="85"/>
      <c r="C4" s="95" t="s">
        <v>24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78"/>
    </row>
    <row r="5" spans="1:20" ht="24.75">
      <c r="A5" s="94"/>
      <c r="B5" s="86">
        <v>30501</v>
      </c>
      <c r="C5" s="95" t="s">
        <v>25</v>
      </c>
      <c r="D5" s="87">
        <f>SUM(D6:D16)</f>
        <v>4022665696</v>
      </c>
      <c r="E5" s="87">
        <f t="shared" ref="E5:R5" si="0">SUM(E6:E16)</f>
        <v>270700000</v>
      </c>
      <c r="F5" s="87">
        <f t="shared" si="0"/>
        <v>45000000</v>
      </c>
      <c r="G5" s="87">
        <f t="shared" si="0"/>
        <v>0</v>
      </c>
      <c r="H5" s="87">
        <f t="shared" si="0"/>
        <v>4248365696</v>
      </c>
      <c r="I5" s="87">
        <f t="shared" si="0"/>
        <v>290043177</v>
      </c>
      <c r="J5" s="87">
        <f t="shared" si="0"/>
        <v>285753880</v>
      </c>
      <c r="K5" s="87">
        <f t="shared" si="0"/>
        <v>280993839</v>
      </c>
      <c r="L5" s="87">
        <f t="shared" si="0"/>
        <v>299514360</v>
      </c>
      <c r="M5" s="87">
        <f t="shared" si="0"/>
        <v>286116645</v>
      </c>
      <c r="N5" s="87">
        <f t="shared" si="0"/>
        <v>301828330</v>
      </c>
      <c r="O5" s="87">
        <f t="shared" si="0"/>
        <v>542959023</v>
      </c>
      <c r="P5" s="87">
        <f t="shared" si="0"/>
        <v>333191529</v>
      </c>
      <c r="Q5" s="87">
        <f t="shared" si="0"/>
        <v>309101965</v>
      </c>
      <c r="R5" s="79">
        <f t="shared" si="0"/>
        <v>2929502748</v>
      </c>
      <c r="T5" t="s">
        <v>241</v>
      </c>
    </row>
    <row r="6" spans="1:20">
      <c r="A6" s="94"/>
      <c r="B6" s="86">
        <v>30501180401</v>
      </c>
      <c r="C6" s="96" t="s">
        <v>26</v>
      </c>
      <c r="D6" s="88">
        <v>3054529442</v>
      </c>
      <c r="E6" s="88">
        <v>45300000</v>
      </c>
      <c r="F6" s="88"/>
      <c r="G6" s="82"/>
      <c r="H6" s="82">
        <f>D6+E6-F6+G6</f>
        <v>3099829442</v>
      </c>
      <c r="I6" s="88">
        <v>243274394</v>
      </c>
      <c r="J6" s="88">
        <v>248637815</v>
      </c>
      <c r="K6" s="88">
        <v>236602499</v>
      </c>
      <c r="L6" s="88">
        <v>241621244</v>
      </c>
      <c r="M6" s="88">
        <v>243226636</v>
      </c>
      <c r="N6" s="88">
        <v>254060455</v>
      </c>
      <c r="O6" s="88">
        <v>339829240</v>
      </c>
      <c r="P6" s="88">
        <v>261630075</v>
      </c>
      <c r="Q6" s="88">
        <v>259908483</v>
      </c>
      <c r="R6" s="80">
        <f t="shared" ref="R6:R16" si="1">I6+J6+K6+L6+M6+N6+O6+P6+Q6</f>
        <v>2328790841</v>
      </c>
    </row>
    <row r="7" spans="1:20">
      <c r="A7" s="94"/>
      <c r="B7" s="86">
        <v>30501180402</v>
      </c>
      <c r="C7" s="95" t="s">
        <v>27</v>
      </c>
      <c r="D7" s="82">
        <v>257189583</v>
      </c>
      <c r="E7" s="82">
        <v>70000000</v>
      </c>
      <c r="F7" s="82">
        <f>10700000</f>
        <v>10700000</v>
      </c>
      <c r="G7" s="82"/>
      <c r="H7" s="82">
        <f t="shared" ref="H7:H28" si="2">D7+E7-F7+G7</f>
        <v>316489583</v>
      </c>
      <c r="I7" s="88"/>
      <c r="J7" s="88"/>
      <c r="K7" s="88">
        <v>0</v>
      </c>
      <c r="L7" s="88"/>
      <c r="M7" s="88"/>
      <c r="N7" s="88"/>
      <c r="O7" s="88"/>
      <c r="P7" s="88"/>
      <c r="Q7" s="88"/>
      <c r="R7" s="80">
        <f t="shared" si="1"/>
        <v>0</v>
      </c>
    </row>
    <row r="8" spans="1:20">
      <c r="A8" s="94"/>
      <c r="B8" s="86">
        <v>30501180403</v>
      </c>
      <c r="C8" s="95" t="s">
        <v>28</v>
      </c>
      <c r="D8" s="82">
        <v>128149827</v>
      </c>
      <c r="E8" s="82"/>
      <c r="F8" s="82">
        <v>20000000</v>
      </c>
      <c r="G8" s="82"/>
      <c r="H8" s="82">
        <f t="shared" si="2"/>
        <v>108149827</v>
      </c>
      <c r="I8" s="88">
        <v>5450543</v>
      </c>
      <c r="J8" s="88">
        <v>9503763</v>
      </c>
      <c r="K8" s="88">
        <v>6153039</v>
      </c>
      <c r="L8" s="88">
        <v>10832273</v>
      </c>
      <c r="M8" s="88">
        <v>7357416</v>
      </c>
      <c r="N8" s="88">
        <v>8596075</v>
      </c>
      <c r="O8" s="88">
        <v>4912094</v>
      </c>
      <c r="P8" s="88">
        <v>17499012</v>
      </c>
      <c r="Q8" s="88">
        <v>10589604</v>
      </c>
      <c r="R8" s="80">
        <f t="shared" si="1"/>
        <v>80893819</v>
      </c>
    </row>
    <row r="9" spans="1:20">
      <c r="A9" s="94"/>
      <c r="B9" s="86">
        <v>30501180404</v>
      </c>
      <c r="C9" s="95" t="s">
        <v>29</v>
      </c>
      <c r="D9" s="82">
        <v>15000000</v>
      </c>
      <c r="E9" s="82"/>
      <c r="F9" s="82">
        <v>10000000</v>
      </c>
      <c r="G9" s="82"/>
      <c r="H9" s="82">
        <f t="shared" si="2"/>
        <v>5000000</v>
      </c>
      <c r="I9" s="88"/>
      <c r="J9" s="88"/>
      <c r="K9" s="88">
        <v>0</v>
      </c>
      <c r="L9" s="88"/>
      <c r="M9" s="88"/>
      <c r="N9" s="88"/>
      <c r="O9" s="88"/>
      <c r="P9" s="88"/>
      <c r="Q9" s="88"/>
      <c r="R9" s="80">
        <f t="shared" si="1"/>
        <v>0</v>
      </c>
    </row>
    <row r="10" spans="1:20">
      <c r="A10" s="94"/>
      <c r="B10" s="86">
        <v>30501180405</v>
      </c>
      <c r="C10" s="95" t="s">
        <v>30</v>
      </c>
      <c r="D10" s="82">
        <v>3000000</v>
      </c>
      <c r="E10" s="82"/>
      <c r="F10" s="82"/>
      <c r="G10" s="82"/>
      <c r="H10" s="82">
        <f t="shared" si="2"/>
        <v>3000000</v>
      </c>
      <c r="I10" s="88">
        <v>107268</v>
      </c>
      <c r="J10" s="88">
        <v>107268</v>
      </c>
      <c r="K10" s="88">
        <v>166280</v>
      </c>
      <c r="L10" s="88">
        <v>166280</v>
      </c>
      <c r="M10" s="88">
        <v>166280</v>
      </c>
      <c r="N10" s="88">
        <v>166280</v>
      </c>
      <c r="O10" s="88">
        <v>166280</v>
      </c>
      <c r="P10" s="88">
        <v>166280</v>
      </c>
      <c r="Q10" s="88">
        <v>83140</v>
      </c>
      <c r="R10" s="80">
        <f t="shared" si="1"/>
        <v>1295356</v>
      </c>
    </row>
    <row r="11" spans="1:20">
      <c r="A11" s="94"/>
      <c r="B11" s="86">
        <v>30501180406</v>
      </c>
      <c r="C11" s="95" t="s">
        <v>31</v>
      </c>
      <c r="D11" s="82">
        <v>27000000</v>
      </c>
      <c r="E11" s="82"/>
      <c r="F11" s="82">
        <v>4300000</v>
      </c>
      <c r="G11" s="82"/>
      <c r="H11" s="82">
        <f t="shared" si="2"/>
        <v>22700000</v>
      </c>
      <c r="I11" s="88"/>
      <c r="J11" s="88"/>
      <c r="K11" s="88">
        <v>0</v>
      </c>
      <c r="L11" s="88"/>
      <c r="M11" s="88"/>
      <c r="N11" s="88"/>
      <c r="O11" s="88"/>
      <c r="P11" s="88">
        <v>3692494</v>
      </c>
      <c r="Q11" s="88"/>
      <c r="R11" s="80">
        <f t="shared" si="1"/>
        <v>3692494</v>
      </c>
    </row>
    <row r="12" spans="1:20" ht="24.75">
      <c r="A12" s="94"/>
      <c r="B12" s="86">
        <v>30501180407</v>
      </c>
      <c r="C12" s="95" t="s">
        <v>32</v>
      </c>
      <c r="D12" s="82">
        <v>1000000</v>
      </c>
      <c r="E12" s="82"/>
      <c r="F12" s="82"/>
      <c r="G12" s="82"/>
      <c r="H12" s="82">
        <f t="shared" si="2"/>
        <v>1000000</v>
      </c>
      <c r="I12" s="88"/>
      <c r="J12" s="88"/>
      <c r="K12" s="88">
        <v>0</v>
      </c>
      <c r="L12" s="88"/>
      <c r="M12" s="88"/>
      <c r="N12" s="88"/>
      <c r="O12" s="88"/>
      <c r="P12" s="88"/>
      <c r="Q12" s="88"/>
      <c r="R12" s="80">
        <f t="shared" si="1"/>
        <v>0</v>
      </c>
    </row>
    <row r="13" spans="1:20">
      <c r="A13" s="94"/>
      <c r="B13" s="86">
        <v>30501180408</v>
      </c>
      <c r="C13" s="95" t="s">
        <v>33</v>
      </c>
      <c r="D13" s="82">
        <v>300000000</v>
      </c>
      <c r="E13" s="82">
        <f>90000000+15000000+2700000</f>
        <v>107700000</v>
      </c>
      <c r="F13" s="82"/>
      <c r="G13" s="82"/>
      <c r="H13" s="82">
        <f t="shared" si="2"/>
        <v>407700000</v>
      </c>
      <c r="I13" s="88">
        <v>30970283</v>
      </c>
      <c r="J13" s="88">
        <v>23046868</v>
      </c>
      <c r="K13" s="88">
        <v>29033767</v>
      </c>
      <c r="L13" s="88">
        <v>39852756</v>
      </c>
      <c r="M13" s="88">
        <v>30230764</v>
      </c>
      <c r="N13" s="88">
        <v>31427020</v>
      </c>
      <c r="O13" s="88">
        <v>54360179</v>
      </c>
      <c r="P13" s="88">
        <v>32225375</v>
      </c>
      <c r="Q13" s="88">
        <v>26332600</v>
      </c>
      <c r="R13" s="80">
        <f t="shared" si="1"/>
        <v>297479612</v>
      </c>
    </row>
    <row r="14" spans="1:20">
      <c r="A14" s="94"/>
      <c r="B14" s="86">
        <v>30501180409</v>
      </c>
      <c r="C14" s="95" t="s">
        <v>34</v>
      </c>
      <c r="D14" s="82">
        <v>127706402</v>
      </c>
      <c r="E14" s="82">
        <v>10700000</v>
      </c>
      <c r="F14" s="82"/>
      <c r="G14" s="82"/>
      <c r="H14" s="82">
        <f t="shared" si="2"/>
        <v>138406402</v>
      </c>
      <c r="I14" s="88"/>
      <c r="J14" s="88"/>
      <c r="K14" s="88">
        <v>0</v>
      </c>
      <c r="L14" s="88"/>
      <c r="M14" s="88"/>
      <c r="N14" s="88"/>
      <c r="O14" s="88">
        <v>138291178</v>
      </c>
      <c r="P14" s="88"/>
      <c r="Q14" s="88"/>
      <c r="R14" s="80">
        <f t="shared" si="1"/>
        <v>138291178</v>
      </c>
    </row>
    <row r="15" spans="1:20">
      <c r="A15" s="94"/>
      <c r="B15" s="86">
        <v>30501180410</v>
      </c>
      <c r="C15" s="95" t="s">
        <v>35</v>
      </c>
      <c r="D15" s="82">
        <v>89090442</v>
      </c>
      <c r="E15" s="82">
        <v>27000000</v>
      </c>
      <c r="F15" s="82"/>
      <c r="G15" s="82"/>
      <c r="H15" s="82">
        <f t="shared" si="2"/>
        <v>116090442</v>
      </c>
      <c r="I15" s="88">
        <v>9548557</v>
      </c>
      <c r="J15" s="88">
        <v>3257578</v>
      </c>
      <c r="K15" s="88">
        <v>8259466</v>
      </c>
      <c r="L15" s="88">
        <v>5682893</v>
      </c>
      <c r="M15" s="88">
        <v>4215231</v>
      </c>
      <c r="N15" s="88">
        <v>6509386</v>
      </c>
      <c r="O15" s="88">
        <v>5080233</v>
      </c>
      <c r="P15" s="88">
        <v>15798469</v>
      </c>
      <c r="Q15" s="88">
        <v>770992</v>
      </c>
      <c r="R15" s="80">
        <f t="shared" si="1"/>
        <v>59122805</v>
      </c>
    </row>
    <row r="16" spans="1:20">
      <c r="A16" s="94"/>
      <c r="B16" s="86">
        <v>30501180411</v>
      </c>
      <c r="C16" s="95" t="s">
        <v>36</v>
      </c>
      <c r="D16" s="82">
        <v>20000000</v>
      </c>
      <c r="E16" s="82">
        <v>10000000</v>
      </c>
      <c r="F16" s="82"/>
      <c r="G16" s="82"/>
      <c r="H16" s="82">
        <f t="shared" si="2"/>
        <v>30000000</v>
      </c>
      <c r="I16" s="88">
        <v>692132</v>
      </c>
      <c r="J16" s="88">
        <v>1200588</v>
      </c>
      <c r="K16" s="88">
        <v>778788</v>
      </c>
      <c r="L16" s="88">
        <v>1358914</v>
      </c>
      <c r="M16" s="88">
        <v>920318</v>
      </c>
      <c r="N16" s="88">
        <v>1069114</v>
      </c>
      <c r="O16" s="88">
        <v>319819</v>
      </c>
      <c r="P16" s="88">
        <v>2179824</v>
      </c>
      <c r="Q16" s="88">
        <v>11417146</v>
      </c>
      <c r="R16" s="80">
        <f t="shared" si="1"/>
        <v>19936643</v>
      </c>
    </row>
    <row r="17" spans="1:18">
      <c r="A17" s="94"/>
      <c r="B17" s="85"/>
      <c r="C17" s="95" t="s">
        <v>37</v>
      </c>
      <c r="D17" s="87">
        <f t="shared" ref="D17:H17" si="3">SUM(D18:D21)</f>
        <v>1403207526</v>
      </c>
      <c r="E17" s="87">
        <f t="shared" si="3"/>
        <v>0</v>
      </c>
      <c r="F17" s="87">
        <f t="shared" si="3"/>
        <v>30000000</v>
      </c>
      <c r="G17" s="87">
        <f t="shared" si="3"/>
        <v>0</v>
      </c>
      <c r="H17" s="87">
        <f t="shared" si="3"/>
        <v>1373207526</v>
      </c>
      <c r="I17" s="87">
        <f t="shared" ref="I17:J17" si="4">SUM(I18:I21)</f>
        <v>58452988</v>
      </c>
      <c r="J17" s="87">
        <f t="shared" si="4"/>
        <v>52998721</v>
      </c>
      <c r="K17" s="87">
        <f>SUM(K18:K21)</f>
        <v>205000000</v>
      </c>
      <c r="L17" s="87">
        <f t="shared" ref="L17:R17" si="5">SUM(L18:L21)</f>
        <v>63500000</v>
      </c>
      <c r="M17" s="87">
        <f t="shared" si="5"/>
        <v>80700000</v>
      </c>
      <c r="N17" s="87">
        <f t="shared" si="5"/>
        <v>84905756</v>
      </c>
      <c r="O17" s="87">
        <f t="shared" si="5"/>
        <v>81616666</v>
      </c>
      <c r="P17" s="87">
        <f t="shared" si="5"/>
        <v>0</v>
      </c>
      <c r="Q17" s="87">
        <f t="shared" si="5"/>
        <v>68000000</v>
      </c>
      <c r="R17" s="79">
        <f t="shared" si="5"/>
        <v>695174131</v>
      </c>
    </row>
    <row r="18" spans="1:18" ht="24.75">
      <c r="A18" s="94"/>
      <c r="B18" s="86">
        <v>30501180412</v>
      </c>
      <c r="C18" s="95" t="s">
        <v>38</v>
      </c>
      <c r="D18" s="82">
        <v>459500000</v>
      </c>
      <c r="E18" s="82"/>
      <c r="F18" s="82">
        <v>30000000</v>
      </c>
      <c r="G18" s="82"/>
      <c r="H18" s="82">
        <f t="shared" si="2"/>
        <v>429500000</v>
      </c>
      <c r="I18" s="88">
        <v>25500000</v>
      </c>
      <c r="J18" s="88">
        <v>36000000</v>
      </c>
      <c r="K18" s="88">
        <v>167000000</v>
      </c>
      <c r="L18" s="88">
        <v>25500000</v>
      </c>
      <c r="M18" s="88">
        <v>0</v>
      </c>
      <c r="N18" s="88">
        <v>41400000</v>
      </c>
      <c r="O18" s="88">
        <v>81616666</v>
      </c>
      <c r="P18" s="88"/>
      <c r="Q18" s="88"/>
      <c r="R18" s="80">
        <f>I18+J18+K18+L18+M18+N18+O18+P18+Q18</f>
        <v>377016666</v>
      </c>
    </row>
    <row r="19" spans="1:18" ht="24.75">
      <c r="A19" s="94"/>
      <c r="B19" s="86">
        <v>30501180413</v>
      </c>
      <c r="C19" s="95" t="s">
        <v>200</v>
      </c>
      <c r="D19" s="82">
        <v>250000000</v>
      </c>
      <c r="E19" s="82"/>
      <c r="F19" s="82"/>
      <c r="G19" s="82"/>
      <c r="H19" s="82">
        <f t="shared" si="2"/>
        <v>250000000</v>
      </c>
      <c r="I19" s="88">
        <v>32952988</v>
      </c>
      <c r="J19" s="88">
        <v>16998721</v>
      </c>
      <c r="K19" s="88"/>
      <c r="L19" s="88">
        <v>0</v>
      </c>
      <c r="M19" s="88">
        <v>12700000</v>
      </c>
      <c r="N19" s="88">
        <v>1835252</v>
      </c>
      <c r="O19" s="88"/>
      <c r="P19" s="88"/>
      <c r="Q19" s="88"/>
      <c r="R19" s="80">
        <f t="shared" ref="R19:R71" si="6">I19+J19+K19+L19+M19+N19+O19+P19+Q19</f>
        <v>64486961</v>
      </c>
    </row>
    <row r="20" spans="1:18">
      <c r="A20" s="94"/>
      <c r="B20" s="86">
        <v>30501180414</v>
      </c>
      <c r="C20" s="95" t="s">
        <v>39</v>
      </c>
      <c r="D20" s="82">
        <v>692707526</v>
      </c>
      <c r="E20" s="82"/>
      <c r="F20" s="82"/>
      <c r="G20" s="82"/>
      <c r="H20" s="82">
        <f t="shared" si="2"/>
        <v>692707526</v>
      </c>
      <c r="I20" s="88"/>
      <c r="J20" s="88"/>
      <c r="K20" s="88">
        <v>38000000</v>
      </c>
      <c r="L20" s="88">
        <v>38000000</v>
      </c>
      <c r="M20" s="88">
        <v>68000000</v>
      </c>
      <c r="N20" s="88">
        <v>41670504</v>
      </c>
      <c r="O20" s="88"/>
      <c r="P20" s="88"/>
      <c r="Q20" s="88">
        <v>68000000</v>
      </c>
      <c r="R20" s="80">
        <f t="shared" si="6"/>
        <v>253670504</v>
      </c>
    </row>
    <row r="21" spans="1:18" ht="24.75">
      <c r="A21" s="94"/>
      <c r="B21" s="86">
        <v>30501180415</v>
      </c>
      <c r="C21" s="95" t="s">
        <v>40</v>
      </c>
      <c r="D21" s="82">
        <v>1000000</v>
      </c>
      <c r="E21" s="82"/>
      <c r="F21" s="82"/>
      <c r="G21" s="82"/>
      <c r="H21" s="82">
        <f t="shared" si="2"/>
        <v>1000000</v>
      </c>
      <c r="I21" s="88"/>
      <c r="J21" s="88"/>
      <c r="K21" s="88"/>
      <c r="L21" s="88"/>
      <c r="M21" s="88"/>
      <c r="N21" s="88"/>
      <c r="O21" s="88"/>
      <c r="P21" s="88"/>
      <c r="Q21" s="88"/>
      <c r="R21" s="80">
        <f t="shared" si="6"/>
        <v>0</v>
      </c>
    </row>
    <row r="22" spans="1:18" ht="24.75">
      <c r="A22" s="94"/>
      <c r="B22" s="86">
        <v>30501180416</v>
      </c>
      <c r="C22" s="95" t="s">
        <v>41</v>
      </c>
      <c r="D22" s="87">
        <f>SUM(D23:D28)</f>
        <v>1278084245</v>
      </c>
      <c r="E22" s="87">
        <f t="shared" ref="E22:H22" si="7">SUM(E23:E28)</f>
        <v>0</v>
      </c>
      <c r="F22" s="87">
        <f t="shared" si="7"/>
        <v>183300000</v>
      </c>
      <c r="G22" s="87">
        <f t="shared" si="7"/>
        <v>0</v>
      </c>
      <c r="H22" s="87">
        <f t="shared" si="7"/>
        <v>1094784245</v>
      </c>
      <c r="I22" s="87">
        <f>SUM(I23:I28)</f>
        <v>63294216</v>
      </c>
      <c r="J22" s="87">
        <f t="shared" ref="J22:Q22" si="8">SUM(J23:J28)</f>
        <v>62564452</v>
      </c>
      <c r="K22" s="87">
        <f t="shared" si="8"/>
        <v>61121814</v>
      </c>
      <c r="L22" s="87">
        <f t="shared" si="8"/>
        <v>63592345</v>
      </c>
      <c r="M22" s="87">
        <f t="shared" si="8"/>
        <v>65154374</v>
      </c>
      <c r="N22" s="87">
        <f t="shared" si="8"/>
        <v>56845921</v>
      </c>
      <c r="O22" s="87">
        <f t="shared" si="8"/>
        <v>76952816</v>
      </c>
      <c r="P22" s="87">
        <f t="shared" si="8"/>
        <v>58471399</v>
      </c>
      <c r="Q22" s="87">
        <f t="shared" si="8"/>
        <v>57172249</v>
      </c>
      <c r="R22" s="79">
        <f t="shared" si="6"/>
        <v>565169586</v>
      </c>
    </row>
    <row r="23" spans="1:18">
      <c r="A23" s="94"/>
      <c r="B23" s="86">
        <v>30501180417</v>
      </c>
      <c r="C23" s="95" t="s">
        <v>42</v>
      </c>
      <c r="D23" s="82">
        <v>122301178</v>
      </c>
      <c r="E23" s="82"/>
      <c r="F23" s="82"/>
      <c r="G23" s="82"/>
      <c r="H23" s="82">
        <f t="shared" si="2"/>
        <v>122301178</v>
      </c>
      <c r="I23" s="89">
        <v>9518100</v>
      </c>
      <c r="J23" s="89">
        <v>9303400</v>
      </c>
      <c r="K23" s="89">
        <v>8956874</v>
      </c>
      <c r="L23" s="89">
        <v>9056235</v>
      </c>
      <c r="M23" s="89">
        <v>9154789</v>
      </c>
      <c r="N23" s="89">
        <v>9456871</v>
      </c>
      <c r="O23" s="89">
        <v>10574822</v>
      </c>
      <c r="P23" s="89">
        <v>7542681</v>
      </c>
      <c r="Q23" s="89">
        <v>7241864</v>
      </c>
      <c r="R23" s="80">
        <f t="shared" si="6"/>
        <v>80805636</v>
      </c>
    </row>
    <row r="24" spans="1:18" ht="24.75">
      <c r="A24" s="94"/>
      <c r="B24" s="86">
        <v>30501180418</v>
      </c>
      <c r="C24" s="95" t="s">
        <v>43</v>
      </c>
      <c r="D24" s="82">
        <v>120229971</v>
      </c>
      <c r="E24" s="82"/>
      <c r="F24" s="82">
        <v>20000000</v>
      </c>
      <c r="G24" s="82"/>
      <c r="H24" s="82">
        <f t="shared" si="2"/>
        <v>100229971</v>
      </c>
      <c r="I24" s="89">
        <v>5903900</v>
      </c>
      <c r="J24" s="89">
        <v>5849200</v>
      </c>
      <c r="K24" s="89">
        <v>5145782</v>
      </c>
      <c r="L24" s="89">
        <v>5238756</v>
      </c>
      <c r="M24" s="89">
        <v>5295641</v>
      </c>
      <c r="N24" s="89">
        <v>5746812</v>
      </c>
      <c r="O24" s="89">
        <v>6425518</v>
      </c>
      <c r="P24" s="89">
        <v>4123586</v>
      </c>
      <c r="Q24" s="89">
        <v>3952687</v>
      </c>
      <c r="R24" s="80">
        <f t="shared" si="6"/>
        <v>47681882</v>
      </c>
    </row>
    <row r="25" spans="1:18">
      <c r="A25" s="94"/>
      <c r="B25" s="86">
        <v>30501180419</v>
      </c>
      <c r="C25" s="95" t="s">
        <v>44</v>
      </c>
      <c r="D25" s="82">
        <v>80453314</v>
      </c>
      <c r="E25" s="82"/>
      <c r="F25" s="82">
        <v>20000000</v>
      </c>
      <c r="G25" s="82"/>
      <c r="H25" s="82">
        <f t="shared" si="2"/>
        <v>60453314</v>
      </c>
      <c r="I25" s="89">
        <v>1189000</v>
      </c>
      <c r="J25" s="89">
        <v>1161900</v>
      </c>
      <c r="K25" s="89">
        <v>1095844</v>
      </c>
      <c r="L25" s="89">
        <v>1100524</v>
      </c>
      <c r="M25" s="89">
        <v>1201623</v>
      </c>
      <c r="N25" s="89">
        <v>1295874</v>
      </c>
      <c r="O25" s="89">
        <v>1658746</v>
      </c>
      <c r="P25" s="89">
        <v>1056547</v>
      </c>
      <c r="Q25" s="89">
        <v>985463</v>
      </c>
      <c r="R25" s="80">
        <f t="shared" si="6"/>
        <v>10745521</v>
      </c>
    </row>
    <row r="26" spans="1:18" ht="24.75">
      <c r="A26" s="94"/>
      <c r="B26" s="86">
        <v>30501180420</v>
      </c>
      <c r="C26" s="95" t="s">
        <v>45</v>
      </c>
      <c r="D26" s="82">
        <v>80453314</v>
      </c>
      <c r="E26" s="82"/>
      <c r="F26" s="82"/>
      <c r="G26" s="82"/>
      <c r="H26" s="82">
        <f t="shared" si="2"/>
        <v>80453314</v>
      </c>
      <c r="I26" s="89">
        <v>1189000</v>
      </c>
      <c r="J26" s="89">
        <v>1161900</v>
      </c>
      <c r="K26" s="89">
        <v>1095844</v>
      </c>
      <c r="L26" s="89">
        <v>1100524</v>
      </c>
      <c r="M26" s="89">
        <v>1201623</v>
      </c>
      <c r="N26" s="89">
        <v>1295874</v>
      </c>
      <c r="O26" s="89">
        <v>1658746</v>
      </c>
      <c r="P26" s="89">
        <v>1056547</v>
      </c>
      <c r="Q26" s="89">
        <v>985463</v>
      </c>
      <c r="R26" s="80">
        <f t="shared" si="6"/>
        <v>10745521</v>
      </c>
    </row>
    <row r="27" spans="1:18" ht="24.75">
      <c r="A27" s="94"/>
      <c r="B27" s="86">
        <v>30501180421</v>
      </c>
      <c r="C27" s="95" t="s">
        <v>46</v>
      </c>
      <c r="D27" s="82">
        <v>50000000</v>
      </c>
      <c r="E27" s="82"/>
      <c r="F27" s="82"/>
      <c r="G27" s="82"/>
      <c r="H27" s="82">
        <f t="shared" si="2"/>
        <v>50000000</v>
      </c>
      <c r="I27" s="89">
        <v>2379400</v>
      </c>
      <c r="J27" s="89">
        <v>2326100</v>
      </c>
      <c r="K27" s="89">
        <v>2258741</v>
      </c>
      <c r="L27" s="89">
        <f>L26*2</f>
        <v>2201048</v>
      </c>
      <c r="M27" s="89">
        <f>M26*2</f>
        <v>2403246</v>
      </c>
      <c r="N27" s="89">
        <f>N26*2</f>
        <v>2591748</v>
      </c>
      <c r="O27" s="89">
        <f>O26*2</f>
        <v>3317492</v>
      </c>
      <c r="P27" s="89">
        <f>P26*2</f>
        <v>2113094</v>
      </c>
      <c r="Q27" s="89">
        <v>1970926</v>
      </c>
      <c r="R27" s="80">
        <f t="shared" si="6"/>
        <v>21561795</v>
      </c>
    </row>
    <row r="28" spans="1:18">
      <c r="A28" s="94"/>
      <c r="B28" s="86">
        <v>30501180422</v>
      </c>
      <c r="C28" s="95" t="s">
        <v>47</v>
      </c>
      <c r="D28" s="82">
        <v>824646468</v>
      </c>
      <c r="E28" s="82"/>
      <c r="F28" s="82">
        <f>97300000+18000000+28000000</f>
        <v>143300000</v>
      </c>
      <c r="G28" s="82"/>
      <c r="H28" s="82">
        <f t="shared" si="2"/>
        <v>681346468</v>
      </c>
      <c r="I28" s="89">
        <f>23573058+19541758</f>
        <v>43114816</v>
      </c>
      <c r="J28" s="89">
        <f>23919826+18842126</f>
        <v>42761952</v>
      </c>
      <c r="K28" s="89">
        <v>42568729</v>
      </c>
      <c r="L28" s="89">
        <v>44895258</v>
      </c>
      <c r="M28" s="89">
        <v>45897452</v>
      </c>
      <c r="N28" s="89">
        <v>36458742</v>
      </c>
      <c r="O28" s="89">
        <v>53317492</v>
      </c>
      <c r="P28" s="89">
        <v>42578944</v>
      </c>
      <c r="Q28" s="89">
        <v>42035846</v>
      </c>
      <c r="R28" s="80">
        <f t="shared" si="6"/>
        <v>393629231</v>
      </c>
    </row>
    <row r="29" spans="1:18">
      <c r="A29" s="94"/>
      <c r="B29" s="86">
        <v>30502</v>
      </c>
      <c r="C29" s="95" t="s">
        <v>48</v>
      </c>
      <c r="D29" s="85"/>
      <c r="E29" s="85"/>
      <c r="F29" s="85"/>
      <c r="G29" s="85"/>
      <c r="H29" s="85"/>
      <c r="I29" s="88"/>
      <c r="J29" s="88"/>
      <c r="K29" s="88"/>
      <c r="L29" s="88"/>
      <c r="M29" s="88"/>
      <c r="N29" s="88"/>
      <c r="O29" s="88"/>
      <c r="P29" s="88"/>
      <c r="Q29" s="88"/>
      <c r="R29" s="80">
        <f t="shared" si="6"/>
        <v>0</v>
      </c>
    </row>
    <row r="30" spans="1:18">
      <c r="A30" s="94"/>
      <c r="B30" s="85"/>
      <c r="C30" s="95" t="s">
        <v>49</v>
      </c>
      <c r="D30" s="87">
        <f t="shared" ref="D30:H30" si="9">SUM(D31:D36)</f>
        <v>581000000</v>
      </c>
      <c r="E30" s="87">
        <f t="shared" si="9"/>
        <v>0</v>
      </c>
      <c r="F30" s="87">
        <f t="shared" si="9"/>
        <v>0</v>
      </c>
      <c r="G30" s="87">
        <f t="shared" si="9"/>
        <v>0</v>
      </c>
      <c r="H30" s="87">
        <f t="shared" si="9"/>
        <v>581000000</v>
      </c>
      <c r="I30" s="87">
        <f t="shared" ref="I30" si="10">SUM(I31:I36)</f>
        <v>0</v>
      </c>
      <c r="J30" s="87">
        <f>SUM(J31:J36)</f>
        <v>1014361</v>
      </c>
      <c r="K30" s="87">
        <f t="shared" ref="K30:Q30" si="11">SUM(K31:K36)</f>
        <v>0</v>
      </c>
      <c r="L30" s="87">
        <f t="shared" si="11"/>
        <v>0</v>
      </c>
      <c r="M30" s="87">
        <f t="shared" si="11"/>
        <v>63138478</v>
      </c>
      <c r="N30" s="87">
        <f t="shared" si="11"/>
        <v>122610000</v>
      </c>
      <c r="O30" s="87">
        <f t="shared" si="11"/>
        <v>11787760</v>
      </c>
      <c r="P30" s="87">
        <f t="shared" si="11"/>
        <v>0</v>
      </c>
      <c r="Q30" s="87">
        <f t="shared" si="11"/>
        <v>0</v>
      </c>
      <c r="R30" s="80">
        <f t="shared" si="6"/>
        <v>198550599</v>
      </c>
    </row>
    <row r="31" spans="1:18">
      <c r="A31" s="94"/>
      <c r="B31" s="86">
        <v>30502180401</v>
      </c>
      <c r="C31" s="95" t="s">
        <v>50</v>
      </c>
      <c r="D31" s="82">
        <v>150000000</v>
      </c>
      <c r="E31" s="82"/>
      <c r="F31" s="82"/>
      <c r="G31" s="82"/>
      <c r="H31" s="82">
        <f t="shared" ref="H31:H47" si="12">D31+E31-F31+G31</f>
        <v>150000000</v>
      </c>
      <c r="I31" s="88"/>
      <c r="J31" s="88"/>
      <c r="K31" s="88"/>
      <c r="L31" s="88"/>
      <c r="M31" s="88"/>
      <c r="N31" s="88"/>
      <c r="O31" s="88">
        <v>9282810</v>
      </c>
      <c r="P31" s="88"/>
      <c r="Q31" s="88"/>
      <c r="R31" s="80">
        <f t="shared" si="6"/>
        <v>9282810</v>
      </c>
    </row>
    <row r="32" spans="1:18">
      <c r="A32" s="94"/>
      <c r="B32" s="86">
        <v>30502180402</v>
      </c>
      <c r="C32" s="95" t="s">
        <v>51</v>
      </c>
      <c r="D32" s="82">
        <v>260000000</v>
      </c>
      <c r="E32" s="82"/>
      <c r="F32" s="82"/>
      <c r="G32" s="82"/>
      <c r="H32" s="82">
        <f t="shared" si="12"/>
        <v>260000000</v>
      </c>
      <c r="I32" s="88"/>
      <c r="J32" s="88">
        <v>1014361</v>
      </c>
      <c r="K32" s="88"/>
      <c r="L32" s="88">
        <v>0</v>
      </c>
      <c r="M32" s="88">
        <v>63138478</v>
      </c>
      <c r="N32" s="88"/>
      <c r="O32" s="88"/>
      <c r="P32" s="88"/>
      <c r="Q32" s="88"/>
      <c r="R32" s="80">
        <f t="shared" si="6"/>
        <v>64152839</v>
      </c>
    </row>
    <row r="33" spans="1:18" ht="24.75">
      <c r="A33" s="94"/>
      <c r="B33" s="86">
        <v>30502180403</v>
      </c>
      <c r="C33" s="95" t="s">
        <v>52</v>
      </c>
      <c r="D33" s="82">
        <v>140000000</v>
      </c>
      <c r="E33" s="82"/>
      <c r="F33" s="82"/>
      <c r="G33" s="82"/>
      <c r="H33" s="82">
        <f t="shared" si="12"/>
        <v>140000000</v>
      </c>
      <c r="I33" s="88"/>
      <c r="J33" s="88"/>
      <c r="K33" s="88"/>
      <c r="L33" s="88"/>
      <c r="M33" s="88"/>
      <c r="N33" s="88">
        <v>122610000</v>
      </c>
      <c r="O33" s="88">
        <v>2504950</v>
      </c>
      <c r="P33" s="88"/>
      <c r="Q33" s="88"/>
      <c r="R33" s="80">
        <f t="shared" si="6"/>
        <v>125114950</v>
      </c>
    </row>
    <row r="34" spans="1:18">
      <c r="A34" s="94"/>
      <c r="B34" s="86">
        <v>30502180404</v>
      </c>
      <c r="C34" s="95" t="s">
        <v>53</v>
      </c>
      <c r="D34" s="82">
        <v>10000000</v>
      </c>
      <c r="E34" s="82"/>
      <c r="F34" s="82"/>
      <c r="G34" s="82"/>
      <c r="H34" s="82">
        <f t="shared" si="12"/>
        <v>10000000</v>
      </c>
      <c r="I34" s="88"/>
      <c r="J34" s="88"/>
      <c r="K34" s="88"/>
      <c r="L34" s="88"/>
      <c r="M34" s="88"/>
      <c r="N34" s="88"/>
      <c r="O34" s="88"/>
      <c r="P34" s="88"/>
      <c r="Q34" s="88"/>
      <c r="R34" s="80">
        <f t="shared" si="6"/>
        <v>0</v>
      </c>
    </row>
    <row r="35" spans="1:18">
      <c r="A35" s="94"/>
      <c r="B35" s="86">
        <v>30502180405</v>
      </c>
      <c r="C35" s="95" t="s">
        <v>54</v>
      </c>
      <c r="D35" s="82">
        <v>1000000</v>
      </c>
      <c r="E35" s="82"/>
      <c r="F35" s="82"/>
      <c r="G35" s="82"/>
      <c r="H35" s="82">
        <f t="shared" si="12"/>
        <v>1000000</v>
      </c>
      <c r="I35" s="88"/>
      <c r="J35" s="88"/>
      <c r="K35" s="88"/>
      <c r="L35" s="88"/>
      <c r="M35" s="88"/>
      <c r="N35" s="88"/>
      <c r="O35" s="88"/>
      <c r="P35" s="88"/>
      <c r="Q35" s="88"/>
      <c r="R35" s="80">
        <f t="shared" si="6"/>
        <v>0</v>
      </c>
    </row>
    <row r="36" spans="1:18">
      <c r="A36" s="94"/>
      <c r="B36" s="86">
        <v>30502180406</v>
      </c>
      <c r="C36" s="95" t="s">
        <v>55</v>
      </c>
      <c r="D36" s="82">
        <v>20000000</v>
      </c>
      <c r="E36" s="82"/>
      <c r="F36" s="82"/>
      <c r="G36" s="82"/>
      <c r="H36" s="82">
        <f t="shared" si="12"/>
        <v>20000000</v>
      </c>
      <c r="I36" s="88"/>
      <c r="J36" s="88"/>
      <c r="K36" s="88"/>
      <c r="L36" s="88"/>
      <c r="M36" s="88"/>
      <c r="N36" s="88"/>
      <c r="O36" s="88"/>
      <c r="P36" s="88"/>
      <c r="Q36" s="88"/>
      <c r="R36" s="80">
        <f t="shared" si="6"/>
        <v>0</v>
      </c>
    </row>
    <row r="37" spans="1:18">
      <c r="A37" s="94"/>
      <c r="B37" s="85"/>
      <c r="C37" s="95" t="s">
        <v>56</v>
      </c>
      <c r="D37" s="87">
        <f t="shared" ref="D37:Q37" si="13">SUM(D38:D47)</f>
        <v>679042533</v>
      </c>
      <c r="E37" s="87">
        <f t="shared" si="13"/>
        <v>7600000</v>
      </c>
      <c r="F37" s="87">
        <f t="shared" si="13"/>
        <v>20000000</v>
      </c>
      <c r="G37" s="87">
        <f t="shared" si="13"/>
        <v>0</v>
      </c>
      <c r="H37" s="87">
        <f t="shared" si="13"/>
        <v>666642533</v>
      </c>
      <c r="I37" s="87">
        <f t="shared" si="13"/>
        <v>16256046</v>
      </c>
      <c r="J37" s="87">
        <f t="shared" si="13"/>
        <v>130445450</v>
      </c>
      <c r="K37" s="87">
        <f t="shared" si="13"/>
        <v>17734299</v>
      </c>
      <c r="L37" s="87">
        <f t="shared" si="13"/>
        <v>22511419</v>
      </c>
      <c r="M37" s="87">
        <f t="shared" si="13"/>
        <v>13216804</v>
      </c>
      <c r="N37" s="87">
        <f t="shared" si="13"/>
        <v>15628340</v>
      </c>
      <c r="O37" s="87">
        <f t="shared" si="13"/>
        <v>20941317</v>
      </c>
      <c r="P37" s="87">
        <f t="shared" si="13"/>
        <v>18800721</v>
      </c>
      <c r="Q37" s="87">
        <f t="shared" si="13"/>
        <v>12415801</v>
      </c>
      <c r="R37" s="79">
        <f t="shared" si="6"/>
        <v>267950197</v>
      </c>
    </row>
    <row r="38" spans="1:18">
      <c r="A38" s="94"/>
      <c r="B38" s="86">
        <v>30502180407</v>
      </c>
      <c r="C38" s="95" t="s">
        <v>57</v>
      </c>
      <c r="D38" s="90">
        <v>69000000</v>
      </c>
      <c r="E38" s="90"/>
      <c r="F38" s="90"/>
      <c r="G38" s="82"/>
      <c r="H38" s="82">
        <f t="shared" si="12"/>
        <v>69000000</v>
      </c>
      <c r="I38" s="88">
        <v>602136</v>
      </c>
      <c r="J38" s="88">
        <v>618189</v>
      </c>
      <c r="K38" s="88">
        <v>617690</v>
      </c>
      <c r="L38" s="88">
        <v>617511</v>
      </c>
      <c r="M38" s="88">
        <v>617654</v>
      </c>
      <c r="N38" s="88">
        <v>497691</v>
      </c>
      <c r="O38" s="88">
        <v>617297</v>
      </c>
      <c r="P38" s="88">
        <v>617475</v>
      </c>
      <c r="Q38" s="88">
        <v>617190</v>
      </c>
      <c r="R38" s="80">
        <f t="shared" si="6"/>
        <v>5422833</v>
      </c>
    </row>
    <row r="39" spans="1:18">
      <c r="A39" s="94"/>
      <c r="B39" s="86">
        <v>30502180408</v>
      </c>
      <c r="C39" s="95" t="s">
        <v>58</v>
      </c>
      <c r="D39" s="90">
        <v>150000000</v>
      </c>
      <c r="E39" s="90"/>
      <c r="F39" s="90"/>
      <c r="G39" s="82"/>
      <c r="H39" s="82">
        <f t="shared" si="12"/>
        <v>150000000</v>
      </c>
      <c r="I39" s="88"/>
      <c r="J39" s="88"/>
      <c r="K39" s="88"/>
      <c r="L39" s="88"/>
      <c r="M39" s="88"/>
      <c r="N39" s="88"/>
      <c r="O39" s="88"/>
      <c r="P39" s="88"/>
      <c r="Q39" s="88"/>
      <c r="R39" s="80">
        <f t="shared" si="6"/>
        <v>0</v>
      </c>
    </row>
    <row r="40" spans="1:18">
      <c r="A40" s="94"/>
      <c r="B40" s="86">
        <v>30502180409</v>
      </c>
      <c r="C40" s="95" t="s">
        <v>59</v>
      </c>
      <c r="D40" s="90">
        <v>46000000</v>
      </c>
      <c r="E40" s="90">
        <v>4500000</v>
      </c>
      <c r="F40" s="90"/>
      <c r="G40" s="82"/>
      <c r="H40" s="82">
        <f t="shared" si="12"/>
        <v>50500000</v>
      </c>
      <c r="I40" s="88"/>
      <c r="J40" s="88">
        <v>20056482</v>
      </c>
      <c r="K40" s="88"/>
      <c r="L40" s="88"/>
      <c r="M40" s="88"/>
      <c r="N40" s="88"/>
      <c r="O40" s="88"/>
      <c r="P40" s="88">
        <v>7343771</v>
      </c>
      <c r="Q40" s="88"/>
      <c r="R40" s="80">
        <f t="shared" si="6"/>
        <v>27400253</v>
      </c>
    </row>
    <row r="41" spans="1:18">
      <c r="A41" s="94"/>
      <c r="B41" s="86">
        <v>30502180410</v>
      </c>
      <c r="C41" s="95" t="s">
        <v>60</v>
      </c>
      <c r="D41" s="90">
        <v>170268033</v>
      </c>
      <c r="E41" s="90"/>
      <c r="F41" s="90">
        <v>20000000</v>
      </c>
      <c r="G41" s="82"/>
      <c r="H41" s="82">
        <f t="shared" si="12"/>
        <v>150268033</v>
      </c>
      <c r="I41" s="88">
        <v>15653910</v>
      </c>
      <c r="J41" s="88">
        <v>10996279</v>
      </c>
      <c r="K41" s="88">
        <v>14442889</v>
      </c>
      <c r="L41" s="88">
        <v>11355963</v>
      </c>
      <c r="M41" s="88">
        <v>10856336</v>
      </c>
      <c r="N41" s="88">
        <v>11913436</v>
      </c>
      <c r="O41" s="88">
        <v>11112416</v>
      </c>
      <c r="P41" s="88">
        <v>10303025</v>
      </c>
      <c r="Q41" s="88">
        <v>11798611</v>
      </c>
      <c r="R41" s="80">
        <f t="shared" si="6"/>
        <v>108432865</v>
      </c>
    </row>
    <row r="42" spans="1:18">
      <c r="A42" s="94"/>
      <c r="B42" s="86">
        <v>30502180411</v>
      </c>
      <c r="C42" s="95" t="s">
        <v>61</v>
      </c>
      <c r="D42" s="90">
        <v>30000000</v>
      </c>
      <c r="E42" s="90"/>
      <c r="F42" s="90"/>
      <c r="G42" s="82"/>
      <c r="H42" s="82">
        <f t="shared" si="12"/>
        <v>30000000</v>
      </c>
      <c r="I42" s="88"/>
      <c r="J42" s="88"/>
      <c r="K42" s="88">
        <v>2673720</v>
      </c>
      <c r="L42" s="88">
        <v>537945</v>
      </c>
      <c r="M42" s="88">
        <v>1742814</v>
      </c>
      <c r="N42" s="88">
        <v>3217213</v>
      </c>
      <c r="O42" s="88">
        <v>3811604</v>
      </c>
      <c r="P42" s="88">
        <v>536450</v>
      </c>
      <c r="Q42" s="88"/>
      <c r="R42" s="80">
        <f t="shared" si="6"/>
        <v>12519746</v>
      </c>
    </row>
    <row r="43" spans="1:18" ht="24.75">
      <c r="A43" s="94"/>
      <c r="B43" s="86">
        <v>30502180412</v>
      </c>
      <c r="C43" s="95" t="s">
        <v>62</v>
      </c>
      <c r="D43" s="90">
        <v>104774500</v>
      </c>
      <c r="E43" s="90">
        <v>3000000</v>
      </c>
      <c r="F43" s="90"/>
      <c r="G43" s="82"/>
      <c r="H43" s="82">
        <f t="shared" si="12"/>
        <v>107774500</v>
      </c>
      <c r="I43" s="88"/>
      <c r="J43" s="88">
        <v>98774500</v>
      </c>
      <c r="K43" s="88"/>
      <c r="L43" s="88"/>
      <c r="M43" s="88"/>
      <c r="N43" s="88"/>
      <c r="O43" s="88"/>
      <c r="P43" s="88"/>
      <c r="Q43" s="88"/>
      <c r="R43" s="80">
        <f t="shared" si="6"/>
        <v>98774500</v>
      </c>
    </row>
    <row r="44" spans="1:18">
      <c r="A44" s="94"/>
      <c r="B44" s="86">
        <v>30502180413</v>
      </c>
      <c r="C44" s="95" t="s">
        <v>63</v>
      </c>
      <c r="D44" s="90">
        <v>18000000</v>
      </c>
      <c r="E44" s="90"/>
      <c r="F44" s="90"/>
      <c r="G44" s="82"/>
      <c r="H44" s="82">
        <f t="shared" si="12"/>
        <v>18000000</v>
      </c>
      <c r="I44" s="88"/>
      <c r="J44" s="88"/>
      <c r="K44" s="88"/>
      <c r="L44" s="88">
        <v>10000000</v>
      </c>
      <c r="M44" s="88">
        <v>0</v>
      </c>
      <c r="N44" s="88"/>
      <c r="O44" s="88"/>
      <c r="P44" s="88"/>
      <c r="Q44" s="88"/>
      <c r="R44" s="80">
        <f t="shared" si="6"/>
        <v>10000000</v>
      </c>
    </row>
    <row r="45" spans="1:18">
      <c r="A45" s="94"/>
      <c r="B45" s="86">
        <v>30502180414</v>
      </c>
      <c r="C45" s="95" t="s">
        <v>64</v>
      </c>
      <c r="D45" s="90">
        <v>40000000</v>
      </c>
      <c r="E45" s="90"/>
      <c r="F45" s="90"/>
      <c r="G45" s="82"/>
      <c r="H45" s="82">
        <f t="shared" si="12"/>
        <v>40000000</v>
      </c>
      <c r="I45" s="88"/>
      <c r="J45" s="88"/>
      <c r="K45" s="88"/>
      <c r="L45" s="88"/>
      <c r="M45" s="88"/>
      <c r="N45" s="88"/>
      <c r="O45" s="88"/>
      <c r="P45" s="88"/>
      <c r="Q45" s="88"/>
      <c r="R45" s="80">
        <f t="shared" si="6"/>
        <v>0</v>
      </c>
    </row>
    <row r="46" spans="1:18">
      <c r="A46" s="94"/>
      <c r="B46" s="86">
        <v>30502180415</v>
      </c>
      <c r="C46" s="95" t="s">
        <v>86</v>
      </c>
      <c r="D46" s="90">
        <v>50000000</v>
      </c>
      <c r="E46" s="90"/>
      <c r="F46" s="90"/>
      <c r="G46" s="82"/>
      <c r="H46" s="82">
        <f t="shared" si="12"/>
        <v>50000000</v>
      </c>
      <c r="I46" s="88"/>
      <c r="J46" s="88"/>
      <c r="K46" s="88"/>
      <c r="L46" s="88"/>
      <c r="M46" s="88"/>
      <c r="N46" s="88"/>
      <c r="O46" s="88">
        <v>5400000</v>
      </c>
      <c r="P46" s="88"/>
      <c r="Q46" s="88"/>
      <c r="R46" s="80">
        <f t="shared" si="6"/>
        <v>5400000</v>
      </c>
    </row>
    <row r="47" spans="1:18">
      <c r="A47" s="94"/>
      <c r="B47" s="86">
        <v>30502180416</v>
      </c>
      <c r="C47" s="95" t="s">
        <v>65</v>
      </c>
      <c r="D47" s="90">
        <v>1000000</v>
      </c>
      <c r="E47" s="90">
        <v>100000</v>
      </c>
      <c r="F47" s="90"/>
      <c r="G47" s="82"/>
      <c r="H47" s="82">
        <f t="shared" si="12"/>
        <v>1100000</v>
      </c>
      <c r="I47" s="88"/>
      <c r="J47" s="88"/>
      <c r="K47" s="88"/>
      <c r="L47" s="88"/>
      <c r="M47" s="88"/>
      <c r="N47" s="88"/>
      <c r="O47" s="88"/>
      <c r="P47" s="88"/>
      <c r="Q47" s="88"/>
      <c r="R47" s="80">
        <f t="shared" si="6"/>
        <v>0</v>
      </c>
    </row>
    <row r="48" spans="1:18">
      <c r="A48" s="94"/>
      <c r="B48" s="85"/>
      <c r="C48" s="95" t="s">
        <v>66</v>
      </c>
      <c r="D48" s="90"/>
      <c r="E48" s="90"/>
      <c r="F48" s="90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0">
        <f t="shared" si="6"/>
        <v>0</v>
      </c>
    </row>
    <row r="49" spans="1:18" ht="24.75">
      <c r="A49" s="94"/>
      <c r="B49" s="85"/>
      <c r="C49" s="95" t="s">
        <v>67</v>
      </c>
      <c r="D49" s="87">
        <f t="shared" ref="D49:H49" si="14">SUM(D50:D53)</f>
        <v>723000000</v>
      </c>
      <c r="E49" s="87">
        <f t="shared" si="14"/>
        <v>0</v>
      </c>
      <c r="F49" s="87">
        <f t="shared" si="14"/>
        <v>0</v>
      </c>
      <c r="G49" s="87">
        <f t="shared" si="14"/>
        <v>0</v>
      </c>
      <c r="H49" s="87">
        <f t="shared" si="14"/>
        <v>723000000</v>
      </c>
      <c r="I49" s="87">
        <f>SUM(I50:I53)</f>
        <v>31153460</v>
      </c>
      <c r="J49" s="87">
        <f t="shared" ref="J49:Q49" si="15">SUM(J50:J53)</f>
        <v>143513572</v>
      </c>
      <c r="K49" s="87">
        <f t="shared" si="15"/>
        <v>78809745</v>
      </c>
      <c r="L49" s="87">
        <f t="shared" si="15"/>
        <v>17702972</v>
      </c>
      <c r="M49" s="87">
        <f t="shared" si="15"/>
        <v>72986407</v>
      </c>
      <c r="N49" s="87">
        <f t="shared" si="15"/>
        <v>35134282</v>
      </c>
      <c r="O49" s="87">
        <f t="shared" si="15"/>
        <v>22058266</v>
      </c>
      <c r="P49" s="87">
        <f t="shared" si="15"/>
        <v>5504998</v>
      </c>
      <c r="Q49" s="87">
        <f t="shared" si="15"/>
        <v>5504998</v>
      </c>
      <c r="R49" s="79">
        <f t="shared" si="6"/>
        <v>412368700</v>
      </c>
    </row>
    <row r="50" spans="1:18">
      <c r="A50" s="94"/>
      <c r="B50" s="86">
        <v>30503180401</v>
      </c>
      <c r="C50" s="95" t="s">
        <v>68</v>
      </c>
      <c r="D50" s="90">
        <v>100000000</v>
      </c>
      <c r="E50" s="90"/>
      <c r="F50" s="90"/>
      <c r="G50" s="82"/>
      <c r="H50" s="82">
        <f t="shared" ref="H50:H57" si="16">D50+E50-F50+G50</f>
        <v>100000000</v>
      </c>
      <c r="I50" s="88">
        <v>5504998</v>
      </c>
      <c r="J50" s="88">
        <v>5504998</v>
      </c>
      <c r="K50" s="88">
        <v>9029595</v>
      </c>
      <c r="L50" s="88">
        <v>6242715</v>
      </c>
      <c r="M50" s="88">
        <v>5504998</v>
      </c>
      <c r="N50" s="88">
        <v>11009996</v>
      </c>
      <c r="O50" s="88">
        <v>5504998</v>
      </c>
      <c r="P50" s="88">
        <v>5504998</v>
      </c>
      <c r="Q50" s="88">
        <v>5504998</v>
      </c>
      <c r="R50" s="80">
        <f t="shared" si="6"/>
        <v>59312294</v>
      </c>
    </row>
    <row r="51" spans="1:18">
      <c r="A51" s="94"/>
      <c r="B51" s="86">
        <v>30503180402</v>
      </c>
      <c r="C51" s="95" t="s">
        <v>69</v>
      </c>
      <c r="D51" s="90">
        <v>1000000</v>
      </c>
      <c r="E51" s="90"/>
      <c r="F51" s="90"/>
      <c r="G51" s="82"/>
      <c r="H51" s="82">
        <f t="shared" si="16"/>
        <v>1000000</v>
      </c>
      <c r="I51" s="88"/>
      <c r="J51" s="88"/>
      <c r="K51" s="88"/>
      <c r="L51" s="88"/>
      <c r="M51" s="88"/>
      <c r="N51" s="88"/>
      <c r="O51" s="88"/>
      <c r="P51" s="88"/>
      <c r="Q51" s="88"/>
      <c r="R51" s="80">
        <f t="shared" si="6"/>
        <v>0</v>
      </c>
    </row>
    <row r="52" spans="1:18">
      <c r="A52" s="94"/>
      <c r="B52" s="86">
        <v>30503180403</v>
      </c>
      <c r="C52" s="95" t="s">
        <v>70</v>
      </c>
      <c r="D52" s="90">
        <v>600000000</v>
      </c>
      <c r="E52" s="90"/>
      <c r="F52" s="90"/>
      <c r="G52" s="82"/>
      <c r="H52" s="82">
        <f t="shared" si="16"/>
        <v>600000000</v>
      </c>
      <c r="I52" s="88">
        <v>5000000</v>
      </c>
      <c r="J52" s="88">
        <v>138008574</v>
      </c>
      <c r="K52" s="88">
        <v>69780150</v>
      </c>
      <c r="L52" s="88">
        <v>11460257</v>
      </c>
      <c r="M52" s="88">
        <v>67481409</v>
      </c>
      <c r="N52" s="88">
        <v>24124286</v>
      </c>
      <c r="O52" s="88">
        <v>16449530</v>
      </c>
      <c r="P52" s="88"/>
      <c r="Q52" s="88"/>
      <c r="R52" s="80">
        <f t="shared" si="6"/>
        <v>332304206</v>
      </c>
    </row>
    <row r="53" spans="1:18">
      <c r="A53" s="94"/>
      <c r="B53" s="86">
        <v>30503180404</v>
      </c>
      <c r="C53" s="95" t="s">
        <v>71</v>
      </c>
      <c r="D53" s="90">
        <v>22000000</v>
      </c>
      <c r="E53" s="90"/>
      <c r="F53" s="90"/>
      <c r="G53" s="82"/>
      <c r="H53" s="82">
        <f t="shared" si="16"/>
        <v>22000000</v>
      </c>
      <c r="I53" s="88">
        <v>20648462</v>
      </c>
      <c r="J53" s="88"/>
      <c r="K53" s="88"/>
      <c r="L53" s="88"/>
      <c r="M53" s="88"/>
      <c r="N53" s="88"/>
      <c r="O53" s="88">
        <v>103738</v>
      </c>
      <c r="P53" s="88"/>
      <c r="Q53" s="88"/>
      <c r="R53" s="80">
        <f t="shared" si="6"/>
        <v>20752200</v>
      </c>
    </row>
    <row r="54" spans="1:18">
      <c r="A54" s="94"/>
      <c r="B54" s="85"/>
      <c r="C54" s="95" t="s">
        <v>72</v>
      </c>
      <c r="D54" s="90">
        <f>SUM(D55:D57)</f>
        <v>275000000</v>
      </c>
      <c r="E54" s="90"/>
      <c r="F54" s="90"/>
      <c r="G54" s="90">
        <f t="shared" ref="G54:Q54" si="17">SUM(G55:G57)</f>
        <v>0</v>
      </c>
      <c r="H54" s="82">
        <f t="shared" si="16"/>
        <v>275000000</v>
      </c>
      <c r="I54" s="91">
        <f t="shared" si="17"/>
        <v>1527860</v>
      </c>
      <c r="J54" s="91">
        <f t="shared" si="17"/>
        <v>1235232</v>
      </c>
      <c r="K54" s="91">
        <f t="shared" si="17"/>
        <v>4730796</v>
      </c>
      <c r="L54" s="91">
        <f t="shared" si="17"/>
        <v>34036587</v>
      </c>
      <c r="M54" s="91">
        <f t="shared" si="17"/>
        <v>9121334</v>
      </c>
      <c r="N54" s="91">
        <f t="shared" si="17"/>
        <v>17815247</v>
      </c>
      <c r="O54" s="91">
        <f t="shared" si="17"/>
        <v>634571</v>
      </c>
      <c r="P54" s="91">
        <f t="shared" si="17"/>
        <v>45628965</v>
      </c>
      <c r="Q54" s="91">
        <f t="shared" si="17"/>
        <v>8384557</v>
      </c>
      <c r="R54" s="79">
        <f t="shared" si="6"/>
        <v>123115149</v>
      </c>
    </row>
    <row r="55" spans="1:18" ht="24.75">
      <c r="A55" s="94"/>
      <c r="B55" s="86">
        <v>30503180405</v>
      </c>
      <c r="C55" s="95" t="s">
        <v>73</v>
      </c>
      <c r="D55" s="90">
        <v>30000000</v>
      </c>
      <c r="E55" s="90"/>
      <c r="F55" s="90"/>
      <c r="G55" s="82"/>
      <c r="H55" s="82">
        <f t="shared" si="16"/>
        <v>30000000</v>
      </c>
      <c r="I55" s="88"/>
      <c r="J55" s="88"/>
      <c r="K55" s="88"/>
      <c r="L55" s="88"/>
      <c r="M55" s="88"/>
      <c r="N55" s="88"/>
      <c r="O55" s="88"/>
      <c r="P55" s="88">
        <v>14800000</v>
      </c>
      <c r="Q55" s="88"/>
      <c r="R55" s="80">
        <f t="shared" si="6"/>
        <v>14800000</v>
      </c>
    </row>
    <row r="56" spans="1:18" ht="24.75">
      <c r="A56" s="94"/>
      <c r="B56" s="86">
        <v>30503180406</v>
      </c>
      <c r="C56" s="95" t="s">
        <v>74</v>
      </c>
      <c r="D56" s="90">
        <v>85000000</v>
      </c>
      <c r="E56" s="90"/>
      <c r="F56" s="90"/>
      <c r="G56" s="82"/>
      <c r="H56" s="82">
        <f t="shared" si="16"/>
        <v>85000000</v>
      </c>
      <c r="I56" s="88"/>
      <c r="J56" s="88"/>
      <c r="K56" s="88"/>
      <c r="L56" s="88">
        <v>0</v>
      </c>
      <c r="M56" s="88">
        <v>4380000</v>
      </c>
      <c r="N56" s="88"/>
      <c r="O56" s="88"/>
      <c r="P56" s="88">
        <v>9568327</v>
      </c>
      <c r="Q56" s="88"/>
      <c r="R56" s="80">
        <f t="shared" si="6"/>
        <v>13948327</v>
      </c>
    </row>
    <row r="57" spans="1:18">
      <c r="A57" s="94"/>
      <c r="B57" s="86">
        <v>30503180407</v>
      </c>
      <c r="C57" s="95" t="s">
        <v>75</v>
      </c>
      <c r="D57" s="90">
        <v>160000000</v>
      </c>
      <c r="E57" s="90"/>
      <c r="F57" s="90"/>
      <c r="G57" s="82"/>
      <c r="H57" s="82">
        <f t="shared" si="16"/>
        <v>160000000</v>
      </c>
      <c r="I57" s="88">
        <v>1527860</v>
      </c>
      <c r="J57" s="88">
        <v>1235232</v>
      </c>
      <c r="K57" s="88">
        <v>4730796</v>
      </c>
      <c r="L57" s="88">
        <v>34036587</v>
      </c>
      <c r="M57" s="88">
        <v>4741334</v>
      </c>
      <c r="N57" s="88">
        <v>17815247</v>
      </c>
      <c r="O57" s="88">
        <v>634571</v>
      </c>
      <c r="P57" s="88">
        <v>21260638</v>
      </c>
      <c r="Q57" s="88">
        <v>8384557</v>
      </c>
      <c r="R57" s="80">
        <f t="shared" si="6"/>
        <v>94366822</v>
      </c>
    </row>
    <row r="58" spans="1:18">
      <c r="A58" s="94"/>
      <c r="B58" s="85"/>
      <c r="C58" s="97" t="s">
        <v>76</v>
      </c>
      <c r="D58" s="87">
        <f>D5+D17+D22+D30+D37+D49+D54</f>
        <v>8962000000</v>
      </c>
      <c r="E58" s="87">
        <f t="shared" ref="E58:Q58" si="18">E5+E17+E22+E30+E37+E49+E54</f>
        <v>278300000</v>
      </c>
      <c r="F58" s="87">
        <f t="shared" si="18"/>
        <v>278300000</v>
      </c>
      <c r="G58" s="87">
        <f t="shared" si="18"/>
        <v>0</v>
      </c>
      <c r="H58" s="87">
        <f t="shared" si="18"/>
        <v>8962000000</v>
      </c>
      <c r="I58" s="87">
        <f t="shared" si="18"/>
        <v>460727747</v>
      </c>
      <c r="J58" s="87">
        <f t="shared" si="18"/>
        <v>677525668</v>
      </c>
      <c r="K58" s="87">
        <f t="shared" si="18"/>
        <v>648390493</v>
      </c>
      <c r="L58" s="87">
        <f t="shared" si="18"/>
        <v>500857683</v>
      </c>
      <c r="M58" s="87">
        <f t="shared" si="18"/>
        <v>590434042</v>
      </c>
      <c r="N58" s="87">
        <f t="shared" si="18"/>
        <v>634767876</v>
      </c>
      <c r="O58" s="87">
        <f t="shared" si="18"/>
        <v>756950419</v>
      </c>
      <c r="P58" s="87">
        <f t="shared" si="18"/>
        <v>461597612</v>
      </c>
      <c r="Q58" s="87">
        <f t="shared" si="18"/>
        <v>460579570</v>
      </c>
      <c r="R58" s="79">
        <f t="shared" si="6"/>
        <v>5191831110</v>
      </c>
    </row>
    <row r="59" spans="1:18">
      <c r="A59" s="94"/>
      <c r="B59" s="85"/>
      <c r="C59" s="95" t="s">
        <v>11</v>
      </c>
      <c r="D59" s="82">
        <v>0</v>
      </c>
      <c r="E59" s="82"/>
      <c r="F59" s="8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0">
        <f t="shared" si="6"/>
        <v>0</v>
      </c>
    </row>
    <row r="60" spans="1:18">
      <c r="A60" s="94"/>
      <c r="B60" s="86">
        <v>305061804</v>
      </c>
      <c r="C60" s="95" t="s">
        <v>77</v>
      </c>
      <c r="D60" s="82">
        <v>0</v>
      </c>
      <c r="E60" s="82"/>
      <c r="F60" s="82"/>
      <c r="G60" s="82"/>
      <c r="H60" s="82">
        <f t="shared" ref="H60:H62" si="19">D60+E60-F60+G60</f>
        <v>0</v>
      </c>
      <c r="I60" s="88"/>
      <c r="J60" s="88"/>
      <c r="K60" s="88"/>
      <c r="L60" s="88"/>
      <c r="M60" s="88"/>
      <c r="N60" s="88"/>
      <c r="O60" s="88"/>
      <c r="P60" s="88"/>
      <c r="Q60" s="88"/>
      <c r="R60" s="80">
        <f t="shared" si="6"/>
        <v>0</v>
      </c>
    </row>
    <row r="61" spans="1:18">
      <c r="A61" s="94"/>
      <c r="B61" s="86">
        <v>30506180401</v>
      </c>
      <c r="C61" s="95" t="s">
        <v>78</v>
      </c>
      <c r="D61" s="82">
        <v>0</v>
      </c>
      <c r="E61" s="82"/>
      <c r="F61" s="82"/>
      <c r="G61" s="82"/>
      <c r="H61" s="82">
        <f t="shared" si="19"/>
        <v>0</v>
      </c>
      <c r="I61" s="88"/>
      <c r="J61" s="88"/>
      <c r="K61" s="88"/>
      <c r="L61" s="88"/>
      <c r="M61" s="88"/>
      <c r="N61" s="88"/>
      <c r="O61" s="88"/>
      <c r="P61" s="88"/>
      <c r="Q61" s="88"/>
      <c r="R61" s="80">
        <f t="shared" si="6"/>
        <v>0</v>
      </c>
    </row>
    <row r="62" spans="1:18" ht="24.75">
      <c r="A62" s="94"/>
      <c r="B62" s="86">
        <v>30506180402</v>
      </c>
      <c r="C62" s="95" t="s">
        <v>79</v>
      </c>
      <c r="D62" s="82">
        <v>0</v>
      </c>
      <c r="E62" s="82"/>
      <c r="F62" s="82"/>
      <c r="G62" s="82"/>
      <c r="H62" s="82">
        <f t="shared" si="19"/>
        <v>0</v>
      </c>
      <c r="I62" s="88"/>
      <c r="J62" s="88"/>
      <c r="K62" s="88"/>
      <c r="L62" s="88"/>
      <c r="M62" s="88"/>
      <c r="N62" s="88"/>
      <c r="O62" s="88"/>
      <c r="P62" s="88"/>
      <c r="Q62" s="88"/>
      <c r="R62" s="80">
        <f t="shared" si="6"/>
        <v>0</v>
      </c>
    </row>
    <row r="63" spans="1:18">
      <c r="A63" s="94"/>
      <c r="B63" s="85"/>
      <c r="C63" s="97" t="s">
        <v>80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5"/>
      <c r="J63" s="85"/>
      <c r="K63" s="85"/>
      <c r="L63" s="85"/>
      <c r="M63" s="85"/>
      <c r="N63" s="85"/>
      <c r="O63" s="85"/>
      <c r="P63" s="85"/>
      <c r="Q63" s="85"/>
      <c r="R63" s="80">
        <f t="shared" si="6"/>
        <v>0</v>
      </c>
    </row>
    <row r="64" spans="1:18">
      <c r="A64" s="94"/>
      <c r="B64" s="85"/>
      <c r="C64" s="95" t="s">
        <v>81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0">
        <f t="shared" si="6"/>
        <v>0</v>
      </c>
    </row>
    <row r="65" spans="1:18">
      <c r="A65" s="94"/>
      <c r="B65" s="86">
        <v>30507180401</v>
      </c>
      <c r="C65" s="95" t="s">
        <v>82</v>
      </c>
      <c r="D65" s="93">
        <v>400000000</v>
      </c>
      <c r="E65" s="93"/>
      <c r="F65" s="93"/>
      <c r="G65" s="85"/>
      <c r="H65" s="82">
        <f t="shared" ref="H65:H69" si="20">D65+E65-F65+G65</f>
        <v>400000000</v>
      </c>
      <c r="I65" s="93"/>
      <c r="J65" s="93"/>
      <c r="K65" s="93"/>
      <c r="L65" s="93"/>
      <c r="M65" s="93"/>
      <c r="N65" s="93"/>
      <c r="O65" s="93"/>
      <c r="P65" s="93"/>
      <c r="Q65" s="93"/>
      <c r="R65" s="80">
        <f t="shared" si="6"/>
        <v>0</v>
      </c>
    </row>
    <row r="66" spans="1:18" ht="24.75">
      <c r="A66" s="94"/>
      <c r="B66" s="86">
        <v>30507180402</v>
      </c>
      <c r="C66" s="95" t="s">
        <v>15</v>
      </c>
      <c r="D66" s="93">
        <v>881700000</v>
      </c>
      <c r="E66" s="93"/>
      <c r="F66" s="93"/>
      <c r="G66" s="85"/>
      <c r="H66" s="82">
        <f t="shared" si="20"/>
        <v>881700000</v>
      </c>
      <c r="I66" s="93"/>
      <c r="J66" s="93"/>
      <c r="K66" s="93">
        <v>7800000</v>
      </c>
      <c r="L66" s="93">
        <v>22500000</v>
      </c>
      <c r="M66" s="93">
        <v>0</v>
      </c>
      <c r="N66" s="88">
        <v>7800000</v>
      </c>
      <c r="O66" s="88">
        <v>39139999</v>
      </c>
      <c r="P66" s="88">
        <v>85758918</v>
      </c>
      <c r="Q66" s="88"/>
      <c r="R66" s="80">
        <f t="shared" si="6"/>
        <v>162998917</v>
      </c>
    </row>
    <row r="67" spans="1:18" ht="24.75">
      <c r="A67" s="94"/>
      <c r="B67" s="86">
        <v>30507180403</v>
      </c>
      <c r="C67" s="95" t="s">
        <v>16</v>
      </c>
      <c r="D67" s="93">
        <v>370000000</v>
      </c>
      <c r="E67" s="93"/>
      <c r="F67" s="93"/>
      <c r="G67" s="85"/>
      <c r="H67" s="82">
        <f t="shared" si="20"/>
        <v>370000000</v>
      </c>
      <c r="I67" s="93"/>
      <c r="J67" s="93"/>
      <c r="K67" s="93"/>
      <c r="L67" s="93"/>
      <c r="M67" s="93"/>
      <c r="N67" s="88"/>
      <c r="O67" s="88"/>
      <c r="P67" s="88"/>
      <c r="Q67" s="88"/>
      <c r="R67" s="80">
        <f t="shared" si="6"/>
        <v>0</v>
      </c>
    </row>
    <row r="68" spans="1:18" ht="24.75" customHeight="1">
      <c r="A68" s="94"/>
      <c r="B68" s="86">
        <v>30507180404</v>
      </c>
      <c r="C68" s="95" t="s">
        <v>12</v>
      </c>
      <c r="D68" s="93">
        <v>1082500000</v>
      </c>
      <c r="E68" s="93"/>
      <c r="F68" s="93"/>
      <c r="G68" s="85"/>
      <c r="H68" s="82">
        <f t="shared" si="20"/>
        <v>1082500000</v>
      </c>
      <c r="I68" s="93"/>
      <c r="J68" s="93"/>
      <c r="K68" s="93"/>
      <c r="L68" s="93"/>
      <c r="M68" s="93"/>
      <c r="N68" s="88"/>
      <c r="O68" s="88">
        <v>6491450</v>
      </c>
      <c r="P68" s="88"/>
      <c r="Q68" s="88">
        <v>10620750</v>
      </c>
      <c r="R68" s="80">
        <f t="shared" si="6"/>
        <v>17112200</v>
      </c>
    </row>
    <row r="69" spans="1:18">
      <c r="A69" s="94"/>
      <c r="B69" s="86">
        <v>30507180405</v>
      </c>
      <c r="C69" s="85" t="s">
        <v>17</v>
      </c>
      <c r="D69" s="93">
        <v>556800000</v>
      </c>
      <c r="E69" s="93"/>
      <c r="F69" s="93"/>
      <c r="G69" s="85"/>
      <c r="H69" s="82">
        <f t="shared" si="20"/>
        <v>556800000</v>
      </c>
      <c r="I69" s="88">
        <v>673955</v>
      </c>
      <c r="J69" s="88">
        <v>4500000</v>
      </c>
      <c r="K69" s="88">
        <v>39900000</v>
      </c>
      <c r="L69" s="88">
        <v>0</v>
      </c>
      <c r="M69" s="88">
        <v>4500000</v>
      </c>
      <c r="N69" s="88">
        <v>39900000</v>
      </c>
      <c r="O69" s="88"/>
      <c r="P69" s="88">
        <v>15831450</v>
      </c>
      <c r="Q69" s="88">
        <v>48706666</v>
      </c>
      <c r="R69" s="80">
        <f t="shared" si="6"/>
        <v>154012071</v>
      </c>
    </row>
    <row r="70" spans="1:18">
      <c r="A70" s="94"/>
      <c r="B70" s="85"/>
      <c r="C70" s="92" t="s">
        <v>83</v>
      </c>
      <c r="D70" s="87">
        <f>SUM(D65:D69)</f>
        <v>3291000000</v>
      </c>
      <c r="E70" s="87">
        <f t="shared" ref="E70:H70" si="21">SUM(E65:E69)</f>
        <v>0</v>
      </c>
      <c r="F70" s="87">
        <f t="shared" si="21"/>
        <v>0</v>
      </c>
      <c r="G70" s="87">
        <f t="shared" si="21"/>
        <v>0</v>
      </c>
      <c r="H70" s="87">
        <f t="shared" si="21"/>
        <v>3291000000</v>
      </c>
      <c r="I70" s="87">
        <f>SUM(I65:I69)</f>
        <v>673955</v>
      </c>
      <c r="J70" s="87">
        <f t="shared" ref="J70:Q70" si="22">SUM(J65:J69)</f>
        <v>4500000</v>
      </c>
      <c r="K70" s="87">
        <f t="shared" si="22"/>
        <v>47700000</v>
      </c>
      <c r="L70" s="87">
        <f t="shared" si="22"/>
        <v>22500000</v>
      </c>
      <c r="M70" s="87">
        <f t="shared" si="22"/>
        <v>4500000</v>
      </c>
      <c r="N70" s="87">
        <f t="shared" si="22"/>
        <v>47700000</v>
      </c>
      <c r="O70" s="87">
        <f t="shared" si="22"/>
        <v>45631449</v>
      </c>
      <c r="P70" s="87">
        <f t="shared" si="22"/>
        <v>101590368</v>
      </c>
      <c r="Q70" s="87">
        <f t="shared" si="22"/>
        <v>59327416</v>
      </c>
      <c r="R70" s="80">
        <f t="shared" si="6"/>
        <v>334123188</v>
      </c>
    </row>
    <row r="71" spans="1:18" ht="15.75">
      <c r="A71" s="94"/>
      <c r="B71" s="131" t="s">
        <v>84</v>
      </c>
      <c r="C71" s="131"/>
      <c r="D71" s="81">
        <f>D58+D63+D70</f>
        <v>12253000000</v>
      </c>
      <c r="E71" s="81">
        <f t="shared" ref="E71:Q71" si="23">E58+E63+E70</f>
        <v>278300000</v>
      </c>
      <c r="F71" s="81">
        <f t="shared" si="23"/>
        <v>278300000</v>
      </c>
      <c r="G71" s="81">
        <f t="shared" si="23"/>
        <v>0</v>
      </c>
      <c r="H71" s="81">
        <f t="shared" si="23"/>
        <v>12253000000</v>
      </c>
      <c r="I71" s="81">
        <f t="shared" si="23"/>
        <v>461401702</v>
      </c>
      <c r="J71" s="81">
        <f t="shared" si="23"/>
        <v>682025668</v>
      </c>
      <c r="K71" s="81">
        <f t="shared" si="23"/>
        <v>696090493</v>
      </c>
      <c r="L71" s="81">
        <f t="shared" si="23"/>
        <v>523357683</v>
      </c>
      <c r="M71" s="81">
        <f t="shared" si="23"/>
        <v>594934042</v>
      </c>
      <c r="N71" s="81">
        <f t="shared" si="23"/>
        <v>682467876</v>
      </c>
      <c r="O71" s="81">
        <f t="shared" si="23"/>
        <v>802581868</v>
      </c>
      <c r="P71" s="81">
        <f t="shared" si="23"/>
        <v>563187980</v>
      </c>
      <c r="Q71" s="81">
        <f t="shared" si="23"/>
        <v>519906986</v>
      </c>
      <c r="R71" s="79">
        <f t="shared" si="6"/>
        <v>5525954298</v>
      </c>
    </row>
    <row r="72" spans="1:18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</sheetData>
  <mergeCells count="17">
    <mergeCell ref="G1:G2"/>
    <mergeCell ref="H1:H2"/>
    <mergeCell ref="R1:R2"/>
    <mergeCell ref="B71:C71"/>
    <mergeCell ref="O1:O2"/>
    <mergeCell ref="P1:P2"/>
    <mergeCell ref="Q1:Q2"/>
    <mergeCell ref="I1:I2"/>
    <mergeCell ref="J1:J2"/>
    <mergeCell ref="K1:K2"/>
    <mergeCell ref="L1:L2"/>
    <mergeCell ref="M1:M2"/>
    <mergeCell ref="N1:N2"/>
    <mergeCell ref="B1:B2"/>
    <mergeCell ref="C1:C2"/>
    <mergeCell ref="D1:D2"/>
    <mergeCell ref="E1:F1"/>
  </mergeCells>
  <pageMargins left="0.25" right="0.25" top="0.75" bottom="0.75" header="0.3" footer="0.3"/>
  <pageSetup paperSize="1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8" workbookViewId="0">
      <selection activeCell="B48" sqref="B48"/>
    </sheetView>
  </sheetViews>
  <sheetFormatPr baseColWidth="10" defaultRowHeight="15"/>
  <cols>
    <col min="1" max="1" width="9.140625" customWidth="1"/>
    <col min="2" max="2" width="13.7109375" customWidth="1"/>
    <col min="13" max="13" width="12.85546875" customWidth="1"/>
  </cols>
  <sheetData>
    <row r="1" spans="1:13" ht="15" customHeight="1">
      <c r="A1" s="109" t="s">
        <v>87</v>
      </c>
      <c r="B1" s="109" t="s">
        <v>88</v>
      </c>
      <c r="C1" s="109" t="s">
        <v>180</v>
      </c>
      <c r="D1" s="117" t="s">
        <v>231</v>
      </c>
      <c r="E1" s="117" t="s">
        <v>230</v>
      </c>
      <c r="F1" s="119" t="s">
        <v>229</v>
      </c>
      <c r="G1" s="119" t="s">
        <v>228</v>
      </c>
      <c r="H1" s="119" t="s">
        <v>227</v>
      </c>
      <c r="I1" s="119" t="s">
        <v>226</v>
      </c>
      <c r="J1" s="119" t="s">
        <v>195</v>
      </c>
      <c r="K1" s="119" t="s">
        <v>201</v>
      </c>
      <c r="L1" s="119" t="s">
        <v>203</v>
      </c>
      <c r="M1" s="119" t="s">
        <v>240</v>
      </c>
    </row>
    <row r="2" spans="1:13">
      <c r="A2" s="110"/>
      <c r="B2" s="110"/>
      <c r="C2" s="110"/>
      <c r="D2" s="118"/>
      <c r="E2" s="118"/>
      <c r="F2" s="120"/>
      <c r="G2" s="120"/>
      <c r="H2" s="120"/>
      <c r="I2" s="120"/>
      <c r="J2" s="120"/>
      <c r="K2" s="120"/>
      <c r="L2" s="120"/>
      <c r="M2" s="120"/>
    </row>
    <row r="3" spans="1:13" ht="25.5">
      <c r="A3" s="67">
        <v>1.1000000000000001</v>
      </c>
      <c r="B3" s="63" t="s">
        <v>2</v>
      </c>
      <c r="C3" s="68">
        <f>SUM(C4)</f>
        <v>1430000000</v>
      </c>
      <c r="D3" s="68">
        <f t="shared" ref="D3:I3" si="0">SUM(D4)</f>
        <v>47700000</v>
      </c>
      <c r="E3" s="68">
        <f t="shared" si="0"/>
        <v>95923000</v>
      </c>
      <c r="F3" s="68">
        <f t="shared" si="0"/>
        <v>250800000</v>
      </c>
      <c r="G3" s="68">
        <f t="shared" si="0"/>
        <v>204000000</v>
      </c>
      <c r="H3" s="68">
        <f t="shared" si="0"/>
        <v>211000000</v>
      </c>
      <c r="I3" s="68">
        <f t="shared" si="0"/>
        <v>210000000</v>
      </c>
      <c r="J3" s="68">
        <f>SUM(J4)</f>
        <v>74636131</v>
      </c>
      <c r="K3" s="68">
        <f t="shared" ref="K3:M3" si="1">SUM(K4)</f>
        <v>249462268</v>
      </c>
      <c r="L3" s="68">
        <f t="shared" si="1"/>
        <v>11360000</v>
      </c>
      <c r="M3" s="68">
        <f t="shared" si="1"/>
        <v>1354881399</v>
      </c>
    </row>
    <row r="4" spans="1:13" ht="38.25">
      <c r="A4" s="69" t="s">
        <v>89</v>
      </c>
      <c r="B4" s="64" t="s">
        <v>90</v>
      </c>
      <c r="C4" s="70">
        <v>1430000000</v>
      </c>
      <c r="D4" s="70">
        <v>47700000</v>
      </c>
      <c r="E4" s="70">
        <v>95923000</v>
      </c>
      <c r="F4" s="70">
        <v>250800000</v>
      </c>
      <c r="G4" s="70">
        <v>204000000</v>
      </c>
      <c r="H4" s="70">
        <v>211000000</v>
      </c>
      <c r="I4" s="71">
        <v>210000000</v>
      </c>
      <c r="J4" s="71">
        <v>74636131</v>
      </c>
      <c r="K4" s="71">
        <f>236412668+1746200+1147800+539400+1245800+882000+1184800+5469200+59000+775400</f>
        <v>249462268</v>
      </c>
      <c r="L4" s="71">
        <f>8400+750000+1247800+342600+382400+1036400+170800+558200+296400+1323000+1405400+407000+1768200+790400+264000+300200+162200+146600</f>
        <v>11360000</v>
      </c>
      <c r="M4" s="70">
        <f>D4+E4+F4+G4+H4+I4+J4+K4+L4</f>
        <v>1354881399</v>
      </c>
    </row>
    <row r="5" spans="1:13" ht="25.5">
      <c r="A5" s="67">
        <v>1.2</v>
      </c>
      <c r="B5" s="63" t="s">
        <v>3</v>
      </c>
      <c r="C5" s="68">
        <f>SUM(C6:C46)</f>
        <v>7800000000</v>
      </c>
      <c r="D5" s="68">
        <f t="shared" ref="D5" si="2">SUM(D6:D46)</f>
        <v>237538529</v>
      </c>
      <c r="E5" s="68">
        <f>SUM(E6:E46)</f>
        <v>281166733</v>
      </c>
      <c r="F5" s="68">
        <f>SUM(F6:F46)</f>
        <v>304121901</v>
      </c>
      <c r="G5" s="68">
        <f t="shared" ref="G5:L5" si="3">SUM(G6:G46)</f>
        <v>242967303</v>
      </c>
      <c r="H5" s="68">
        <f t="shared" si="3"/>
        <v>251840511</v>
      </c>
      <c r="I5" s="68">
        <f t="shared" si="3"/>
        <v>213119412</v>
      </c>
      <c r="J5" s="68">
        <f t="shared" si="3"/>
        <v>218250560</v>
      </c>
      <c r="K5" s="68">
        <f t="shared" si="3"/>
        <v>253899004</v>
      </c>
      <c r="L5" s="68">
        <f t="shared" si="3"/>
        <v>247636285</v>
      </c>
      <c r="M5" s="68">
        <f t="shared" ref="M5:M59" si="4">D5+E5+F5+G5+H5+I5+J5+K5+L5</f>
        <v>2250540238</v>
      </c>
    </row>
    <row r="6" spans="1:13">
      <c r="A6" s="69" t="s">
        <v>91</v>
      </c>
      <c r="B6" s="64" t="s">
        <v>92</v>
      </c>
      <c r="C6" s="70">
        <v>3200000000</v>
      </c>
      <c r="D6" s="72">
        <f>41115991+15871238+10720874</f>
        <v>67708103</v>
      </c>
      <c r="E6" s="72">
        <f>+'[1]cuadre por cuentas 20170201 al '!$D$107</f>
        <v>84480991</v>
      </c>
      <c r="F6" s="72">
        <f>+'[2]cuadre por cuentas 20170301 al '!$D$107</f>
        <v>91208960</v>
      </c>
      <c r="G6" s="72">
        <f>+'[3]cuadre por cuentas 20170401 al '!$D$107</f>
        <v>86613097</v>
      </c>
      <c r="H6" s="70">
        <f>+'[4]cuadre por cuentas 20170501 al '!$D$107</f>
        <v>78949809</v>
      </c>
      <c r="I6" s="71">
        <f>44314183</f>
        <v>44314183</v>
      </c>
      <c r="J6" s="71">
        <f>42358524+15491254+5252572</f>
        <v>63102350</v>
      </c>
      <c r="K6" s="71">
        <v>98999275</v>
      </c>
      <c r="L6" s="71">
        <v>103100593</v>
      </c>
      <c r="M6" s="70">
        <f t="shared" si="4"/>
        <v>718477361</v>
      </c>
    </row>
    <row r="7" spans="1:13" ht="25.5">
      <c r="A7" s="69" t="s">
        <v>93</v>
      </c>
      <c r="B7" s="64" t="s">
        <v>94</v>
      </c>
      <c r="C7" s="70">
        <v>365000000</v>
      </c>
      <c r="D7" s="72">
        <f>+'[5]cuadre por cuentas 20170101 al '!$D$150</f>
        <v>16918630</v>
      </c>
      <c r="E7" s="72">
        <f>+'[1]cuadre por cuentas 20170201 al '!$D$142</f>
        <v>16040634</v>
      </c>
      <c r="F7" s="72">
        <f>+'[2]cuadre por cuentas 20170301 al '!$D$144</f>
        <v>17365464</v>
      </c>
      <c r="G7" s="72">
        <f>+'[3]cuadre por cuentas 20170401 al '!$D$144</f>
        <v>14613894</v>
      </c>
      <c r="H7" s="70">
        <f>+'[4]cuadre por cuentas 20170501 al '!$D$144</f>
        <v>19138698</v>
      </c>
      <c r="I7" s="71">
        <f>1002254+3781231+9931426+45557+501127+14578240</f>
        <v>29839835</v>
      </c>
      <c r="J7" s="71">
        <v>29019809</v>
      </c>
      <c r="K7" s="71">
        <v>28518682</v>
      </c>
      <c r="L7" s="71">
        <v>11964234</v>
      </c>
      <c r="M7" s="70">
        <f t="shared" si="4"/>
        <v>183419880</v>
      </c>
    </row>
    <row r="8" spans="1:13">
      <c r="A8" s="69" t="s">
        <v>95</v>
      </c>
      <c r="B8" s="64" t="s">
        <v>96</v>
      </c>
      <c r="C8" s="70">
        <v>60000000</v>
      </c>
      <c r="D8" s="72">
        <f>+'[5]cuadre por cuentas 20170101 al '!$D$133</f>
        <v>2189046</v>
      </c>
      <c r="E8" s="72">
        <f>+'[1]cuadre por cuentas 20170201 al '!$D$126</f>
        <v>1674495</v>
      </c>
      <c r="F8" s="72">
        <f>+'[2]cuadre por cuentas 20170301 al '!$D$127</f>
        <v>6363081</v>
      </c>
      <c r="G8" s="72">
        <f>+'[3]cuadre por cuentas 20170401 al '!$D$127</f>
        <v>4800219</v>
      </c>
      <c r="H8" s="70">
        <f>+'[4]cuadre por cuentas 20170501 al '!$D$127</f>
        <v>1748917</v>
      </c>
      <c r="I8" s="71">
        <v>1153541</v>
      </c>
      <c r="J8" s="71">
        <v>1600073</v>
      </c>
      <c r="K8" s="71">
        <v>1227963</v>
      </c>
      <c r="L8" s="71">
        <v>3311779</v>
      </c>
      <c r="M8" s="70">
        <f t="shared" si="4"/>
        <v>24069114</v>
      </c>
    </row>
    <row r="9" spans="1:13">
      <c r="A9" s="69" t="s">
        <v>97</v>
      </c>
      <c r="B9" s="64" t="s">
        <v>98</v>
      </c>
      <c r="C9" s="70">
        <v>1764000000</v>
      </c>
      <c r="D9" s="72">
        <f>84815104-25576547</f>
        <v>59238557</v>
      </c>
      <c r="E9" s="72">
        <v>63441691</v>
      </c>
      <c r="F9" s="72">
        <v>0</v>
      </c>
      <c r="G9" s="72">
        <v>0</v>
      </c>
      <c r="H9" s="70">
        <v>0</v>
      </c>
      <c r="I9" s="71">
        <f>38250762+2407729</f>
        <v>40658491</v>
      </c>
      <c r="J9" s="71">
        <f>34859640+1222968+32313</f>
        <v>36114921</v>
      </c>
      <c r="K9" s="71">
        <f>34530140+1017693</f>
        <v>35547833</v>
      </c>
      <c r="L9" s="71">
        <v>34273808</v>
      </c>
      <c r="M9" s="70">
        <f t="shared" si="4"/>
        <v>269275301</v>
      </c>
    </row>
    <row r="10" spans="1:13">
      <c r="A10" s="69" t="s">
        <v>99</v>
      </c>
      <c r="B10" s="64" t="s">
        <v>100</v>
      </c>
      <c r="C10" s="70">
        <v>26000000</v>
      </c>
      <c r="D10" s="72">
        <f>+'[5]cuadre por cuentas 20170101 al '!$D$109</f>
        <v>923412</v>
      </c>
      <c r="E10" s="72">
        <f>+'[1]cuadre por cuentas 20170201 al '!$D$103</f>
        <v>726840</v>
      </c>
      <c r="F10" s="72">
        <f>+'[2]cuadre por cuentas 20170301 al '!$D$103</f>
        <v>759144</v>
      </c>
      <c r="G10" s="72">
        <f>+'[3]cuadre por cuentas 20170401 al '!$D$103</f>
        <v>662232</v>
      </c>
      <c r="H10" s="70">
        <f>+'[4]cuadre por cuentas 20170501 al '!$D$103</f>
        <v>662232</v>
      </c>
      <c r="I10" s="71">
        <v>791448</v>
      </c>
      <c r="J10" s="71">
        <v>565320</v>
      </c>
      <c r="K10" s="71">
        <v>678384</v>
      </c>
      <c r="L10" s="71">
        <v>1082184</v>
      </c>
      <c r="M10" s="70">
        <f t="shared" si="4"/>
        <v>6851196</v>
      </c>
    </row>
    <row r="11" spans="1:13" ht="21" customHeight="1">
      <c r="A11" s="69" t="s">
        <v>101</v>
      </c>
      <c r="B11" s="64" t="s">
        <v>102</v>
      </c>
      <c r="C11" s="70">
        <v>38000000</v>
      </c>
      <c r="D11" s="72">
        <f>+'[5]cuadre por cuentas 20170101 al '!$D$116</f>
        <v>1143372</v>
      </c>
      <c r="E11" s="72">
        <f>+'[1]cuadre por cuentas 20170201 al '!$D$110</f>
        <v>1114419</v>
      </c>
      <c r="F11" s="72">
        <f>+'[2]cuadre por cuentas 20170301 al '!$D$110</f>
        <v>1259782</v>
      </c>
      <c r="G11" s="72">
        <f>+'[3]cuadre por cuentas 20170401 al '!$D$110</f>
        <v>839904</v>
      </c>
      <c r="H11" s="70">
        <f>+'[4]cuadre por cuentas 20170501 al '!$D$110</f>
        <v>1001424</v>
      </c>
      <c r="I11" s="71">
        <v>1276008</v>
      </c>
      <c r="J11" s="71">
        <v>985272</v>
      </c>
      <c r="K11" s="71">
        <v>1001424</v>
      </c>
      <c r="L11" s="71">
        <v>1453680</v>
      </c>
      <c r="M11" s="70">
        <f t="shared" si="4"/>
        <v>10075285</v>
      </c>
    </row>
    <row r="12" spans="1:13" ht="20.25" customHeight="1">
      <c r="A12" s="69" t="s">
        <v>103</v>
      </c>
      <c r="B12" s="64" t="s">
        <v>104</v>
      </c>
      <c r="C12" s="70">
        <v>95000000</v>
      </c>
      <c r="D12" s="72">
        <f>+'[5]cuadre por cuentas 20170101 al '!$D$124</f>
        <v>5136620</v>
      </c>
      <c r="E12" s="72">
        <f>+'[1]cuadre por cuentas 20170201 al '!$D$117</f>
        <v>7563611</v>
      </c>
      <c r="F12" s="72">
        <f>+'[2]cuadre por cuentas 20170301 al '!$D$118</f>
        <v>11198564</v>
      </c>
      <c r="G12" s="72">
        <f>+'[3]cuadre por cuentas 20170401 al '!$D$118</f>
        <v>8175667</v>
      </c>
      <c r="H12" s="70">
        <f>+'[4]cuadre por cuentas 20170501 al '!$D$118</f>
        <v>6883478</v>
      </c>
      <c r="I12" s="71">
        <v>5061103</v>
      </c>
      <c r="J12" s="71">
        <v>4011185</v>
      </c>
      <c r="K12" s="71">
        <v>6331301</v>
      </c>
      <c r="L12" s="71">
        <v>8094786</v>
      </c>
      <c r="M12" s="70">
        <f t="shared" si="4"/>
        <v>62456315</v>
      </c>
    </row>
    <row r="13" spans="1:13">
      <c r="A13" s="69" t="s">
        <v>105</v>
      </c>
      <c r="B13" s="64" t="s">
        <v>106</v>
      </c>
      <c r="C13" s="70">
        <v>5000000</v>
      </c>
      <c r="D13" s="72">
        <f>+'[5]cuadre por cuentas 20170101 al '!$D$111</f>
        <v>76257</v>
      </c>
      <c r="E13" s="72">
        <f>+'[1]cuadre por cuentas 20170201 al '!$D$105</f>
        <v>80642</v>
      </c>
      <c r="F13" s="72">
        <f>+'[2]cuadre por cuentas 20170301 al '!$D$105</f>
        <v>0</v>
      </c>
      <c r="G13" s="72">
        <f>+'[3]cuadre por cuentas 20170401 al '!$D$105</f>
        <v>80642</v>
      </c>
      <c r="H13" s="70">
        <v>0</v>
      </c>
      <c r="I13" s="71">
        <v>123456</v>
      </c>
      <c r="J13" s="71">
        <v>0</v>
      </c>
      <c r="K13" s="71">
        <v>0</v>
      </c>
      <c r="L13" s="71">
        <v>0</v>
      </c>
      <c r="M13" s="70">
        <f t="shared" si="4"/>
        <v>360997</v>
      </c>
    </row>
    <row r="14" spans="1:13">
      <c r="A14" s="69" t="s">
        <v>107</v>
      </c>
      <c r="B14" s="64" t="s">
        <v>108</v>
      </c>
      <c r="C14" s="70">
        <v>545000000</v>
      </c>
      <c r="D14" s="72">
        <v>7020431</v>
      </c>
      <c r="E14" s="72">
        <v>7435753</v>
      </c>
      <c r="F14" s="72">
        <v>0</v>
      </c>
      <c r="G14" s="72">
        <v>0</v>
      </c>
      <c r="H14" s="70">
        <v>0</v>
      </c>
      <c r="I14" s="71">
        <v>6263399</v>
      </c>
      <c r="J14" s="71">
        <v>6974151</v>
      </c>
      <c r="K14" s="71">
        <v>7998062</v>
      </c>
      <c r="L14" s="71">
        <v>6595274</v>
      </c>
      <c r="M14" s="70">
        <f t="shared" si="4"/>
        <v>42287070</v>
      </c>
    </row>
    <row r="15" spans="1:13" ht="25.5">
      <c r="A15" s="69" t="s">
        <v>109</v>
      </c>
      <c r="B15" s="64" t="s">
        <v>110</v>
      </c>
      <c r="C15" s="70">
        <v>6000000</v>
      </c>
      <c r="D15" s="72">
        <f>+'[5]cuadre por cuentas 20170101 al '!$D$134</f>
        <v>456007</v>
      </c>
      <c r="E15" s="72">
        <f>+'[1]cuadre por cuentas 20170201 al '!$D$127</f>
        <v>330192</v>
      </c>
      <c r="F15" s="72">
        <f>+'[2]cuadre por cuentas 20170301 al '!$D$128</f>
        <v>715416</v>
      </c>
      <c r="G15" s="72">
        <f>+'[3]cuadre por cuentas 20170401 al '!$D$128</f>
        <v>348536</v>
      </c>
      <c r="H15" s="70">
        <f>+'[4]cuadre por cuentas 20170501 al '!$D$128</f>
        <v>495288</v>
      </c>
      <c r="I15" s="71">
        <v>421912</v>
      </c>
      <c r="J15" s="71">
        <v>440256</v>
      </c>
      <c r="K15" s="71">
        <v>642040</v>
      </c>
      <c r="L15" s="71">
        <v>587008</v>
      </c>
      <c r="M15" s="70">
        <f t="shared" si="4"/>
        <v>4436655</v>
      </c>
    </row>
    <row r="16" spans="1:13">
      <c r="A16" s="69" t="s">
        <v>111</v>
      </c>
      <c r="B16" s="64" t="s">
        <v>112</v>
      </c>
      <c r="C16" s="70">
        <v>1100000000</v>
      </c>
      <c r="D16" s="72">
        <f>+'[5]cuadre por cuentas 20170101 al '!$D$117</f>
        <v>34191551</v>
      </c>
      <c r="E16" s="72">
        <f>+'[1]cuadre por cuentas 20170201 al '!$D$111</f>
        <v>41279531</v>
      </c>
      <c r="F16" s="72">
        <f>+'[2]cuadre por cuentas 20170301 al '!$D$111</f>
        <v>41958241</v>
      </c>
      <c r="G16" s="72">
        <f>+'[3]cuadre por cuentas 20170401 al '!$D$111</f>
        <v>28002071</v>
      </c>
      <c r="H16" s="70">
        <f>+'[4]cuadre por cuentas 20170501 al '!$D$111</f>
        <v>32378934</v>
      </c>
      <c r="I16" s="71">
        <v>27271352</v>
      </c>
      <c r="J16" s="71">
        <v>21821967</v>
      </c>
      <c r="K16" s="71">
        <v>20155923</v>
      </c>
      <c r="L16" s="71">
        <v>19304788</v>
      </c>
      <c r="M16" s="70">
        <f t="shared" si="4"/>
        <v>266364358</v>
      </c>
    </row>
    <row r="17" spans="1:13">
      <c r="A17" s="69" t="s">
        <v>113</v>
      </c>
      <c r="B17" s="64" t="s">
        <v>114</v>
      </c>
      <c r="C17" s="70">
        <v>96000000</v>
      </c>
      <c r="D17" s="72">
        <v>13447850</v>
      </c>
      <c r="E17" s="72">
        <v>17375730</v>
      </c>
      <c r="F17" s="72">
        <v>0</v>
      </c>
      <c r="G17" s="72">
        <v>0</v>
      </c>
      <c r="H17" s="70">
        <v>0</v>
      </c>
      <c r="I17" s="71">
        <v>16191130</v>
      </c>
      <c r="J17" s="71">
        <v>17529220</v>
      </c>
      <c r="K17" s="71">
        <v>18406870</v>
      </c>
      <c r="L17" s="71">
        <v>18704210</v>
      </c>
      <c r="M17" s="70">
        <f t="shared" si="4"/>
        <v>101655010</v>
      </c>
    </row>
    <row r="18" spans="1:13" ht="22.5" customHeight="1">
      <c r="A18" s="69" t="s">
        <v>115</v>
      </c>
      <c r="B18" s="64" t="s">
        <v>116</v>
      </c>
      <c r="C18" s="70">
        <v>18000000</v>
      </c>
      <c r="D18" s="72">
        <v>8386</v>
      </c>
      <c r="E18" s="72">
        <v>7188</v>
      </c>
      <c r="F18" s="72">
        <v>0</v>
      </c>
      <c r="G18" s="72">
        <v>0</v>
      </c>
      <c r="H18" s="70">
        <v>0</v>
      </c>
      <c r="I18" s="71">
        <v>15574</v>
      </c>
      <c r="J18" s="71">
        <v>4792</v>
      </c>
      <c r="K18" s="71">
        <v>9584</v>
      </c>
      <c r="L18" s="71">
        <v>10782</v>
      </c>
      <c r="M18" s="70">
        <f t="shared" si="4"/>
        <v>56306</v>
      </c>
    </row>
    <row r="19" spans="1:13" ht="19.5" customHeight="1">
      <c r="A19" s="69" t="s">
        <v>117</v>
      </c>
      <c r="B19" s="64" t="s">
        <v>118</v>
      </c>
      <c r="C19" s="70">
        <v>53000000</v>
      </c>
      <c r="D19" s="72">
        <v>4326144</v>
      </c>
      <c r="E19" s="72">
        <v>6719168</v>
      </c>
      <c r="F19" s="72">
        <v>0</v>
      </c>
      <c r="G19" s="72">
        <v>0</v>
      </c>
      <c r="H19" s="70">
        <v>0</v>
      </c>
      <c r="I19" s="71">
        <v>4571694</v>
      </c>
      <c r="J19" s="71">
        <v>4596273</v>
      </c>
      <c r="K19" s="71">
        <v>5456538</v>
      </c>
      <c r="L19" s="71">
        <v>5407380</v>
      </c>
      <c r="M19" s="70">
        <f t="shared" si="4"/>
        <v>31077197</v>
      </c>
    </row>
    <row r="20" spans="1:13" ht="25.5">
      <c r="A20" s="69" t="s">
        <v>119</v>
      </c>
      <c r="B20" s="64" t="s">
        <v>120</v>
      </c>
      <c r="C20" s="70">
        <v>82500000</v>
      </c>
      <c r="D20" s="72">
        <f>+'[5]cuadre por cuentas 20170101 al '!$D$126</f>
        <v>4750549</v>
      </c>
      <c r="E20" s="72">
        <f>+'[1]cuadre por cuentas 20170201 al '!$D$119</f>
        <v>5984824</v>
      </c>
      <c r="F20" s="72">
        <f>+'[2]cuadre por cuentas 20170301 al '!$D$120</f>
        <v>7856853</v>
      </c>
      <c r="G20" s="72">
        <f>+'[3]cuadre por cuentas 20170401 al '!$D$120</f>
        <v>6285424</v>
      </c>
      <c r="H20" s="70">
        <f>+'[4]cuadre por cuentas 20170501 al '!$D$120</f>
        <v>5940423</v>
      </c>
      <c r="I20" s="71">
        <v>4342230</v>
      </c>
      <c r="J20" s="71">
        <v>2999420</v>
      </c>
      <c r="K20" s="71">
        <v>3998383</v>
      </c>
      <c r="L20" s="71">
        <v>6163584</v>
      </c>
      <c r="M20" s="70">
        <f t="shared" si="4"/>
        <v>48321690</v>
      </c>
    </row>
    <row r="21" spans="1:13" ht="25.5">
      <c r="A21" s="69" t="s">
        <v>121</v>
      </c>
      <c r="B21" s="64" t="s">
        <v>122</v>
      </c>
      <c r="C21" s="70">
        <v>3850000</v>
      </c>
      <c r="D21" s="72">
        <v>56352</v>
      </c>
      <c r="E21" s="72">
        <v>112804</v>
      </c>
      <c r="F21" s="72">
        <v>0</v>
      </c>
      <c r="G21" s="72">
        <v>0</v>
      </c>
      <c r="H21" s="70">
        <v>0</v>
      </c>
      <c r="I21" s="71">
        <v>0</v>
      </c>
      <c r="J21" s="71">
        <v>56352</v>
      </c>
      <c r="K21" s="71">
        <v>619872</v>
      </c>
      <c r="L21" s="71">
        <v>112704</v>
      </c>
      <c r="M21" s="70">
        <f t="shared" si="4"/>
        <v>958084</v>
      </c>
    </row>
    <row r="22" spans="1:13" ht="25.5">
      <c r="A22" s="69" t="s">
        <v>123</v>
      </c>
      <c r="B22" s="64" t="s">
        <v>124</v>
      </c>
      <c r="C22" s="70">
        <v>26000000</v>
      </c>
      <c r="D22" s="72">
        <v>5697472</v>
      </c>
      <c r="E22" s="72">
        <v>6571516</v>
      </c>
      <c r="F22" s="72">
        <v>0</v>
      </c>
      <c r="G22" s="72">
        <v>0</v>
      </c>
      <c r="H22" s="70">
        <v>0</v>
      </c>
      <c r="I22" s="71">
        <f>2719248+3431432</f>
        <v>6150680</v>
      </c>
      <c r="J22" s="71">
        <f>2492644+3722780</f>
        <v>6215424</v>
      </c>
      <c r="K22" s="71">
        <f>3560920+2136552</f>
        <v>5697472</v>
      </c>
      <c r="L22" s="71">
        <v>6085936</v>
      </c>
      <c r="M22" s="70">
        <f t="shared" si="4"/>
        <v>36418500</v>
      </c>
    </row>
    <row r="23" spans="1:13" ht="25.5">
      <c r="A23" s="69" t="s">
        <v>125</v>
      </c>
      <c r="B23" s="64" t="s">
        <v>126</v>
      </c>
      <c r="C23" s="70">
        <v>39000000</v>
      </c>
      <c r="D23" s="72">
        <f>+'[5]cuadre por cuentas 20170101 al '!$D$144</f>
        <v>3404112</v>
      </c>
      <c r="E23" s="72">
        <f>+'[1]cuadre por cuentas 20170201 al '!$D$136</f>
        <v>4791760</v>
      </c>
      <c r="F23" s="72">
        <f>+'[2]cuadre por cuentas 20170301 al '!$D$138</f>
        <v>9960400</v>
      </c>
      <c r="G23" s="72">
        <f>+'[3]cuadre por cuentas 20170401 al '!$D$138</f>
        <v>9852720</v>
      </c>
      <c r="H23" s="70">
        <f>+'[4]cuadre por cuentas 20170501 al '!$D$138</f>
        <v>5545520</v>
      </c>
      <c r="I23" s="71">
        <v>7349160</v>
      </c>
      <c r="J23" s="71">
        <v>9448920</v>
      </c>
      <c r="K23" s="71">
        <v>8560560</v>
      </c>
      <c r="L23" s="71">
        <v>8129840</v>
      </c>
      <c r="M23" s="70">
        <f t="shared" si="4"/>
        <v>67042992</v>
      </c>
    </row>
    <row r="24" spans="1:13" ht="30.75" customHeight="1">
      <c r="A24" s="69" t="s">
        <v>127</v>
      </c>
      <c r="B24" s="64" t="s">
        <v>128</v>
      </c>
      <c r="C24" s="70">
        <v>10000000</v>
      </c>
      <c r="D24" s="72">
        <v>517952</v>
      </c>
      <c r="E24" s="72">
        <v>809300</v>
      </c>
      <c r="F24" s="72">
        <v>0</v>
      </c>
      <c r="G24" s="72">
        <v>0</v>
      </c>
      <c r="H24" s="70">
        <v>0</v>
      </c>
      <c r="I24" s="71">
        <v>453208</v>
      </c>
      <c r="J24" s="71">
        <v>550324</v>
      </c>
      <c r="K24" s="71">
        <v>550324</v>
      </c>
      <c r="L24" s="71">
        <v>485580</v>
      </c>
      <c r="M24" s="70">
        <f t="shared" si="4"/>
        <v>3366688</v>
      </c>
    </row>
    <row r="25" spans="1:13" ht="32.25" customHeight="1">
      <c r="A25" s="69" t="s">
        <v>129</v>
      </c>
      <c r="B25" s="64" t="s">
        <v>130</v>
      </c>
      <c r="C25" s="70">
        <v>1000000</v>
      </c>
      <c r="D25" s="72"/>
      <c r="E25" s="72">
        <v>112704</v>
      </c>
      <c r="F25" s="72">
        <v>0</v>
      </c>
      <c r="G25" s="72">
        <v>0</v>
      </c>
      <c r="H25" s="70">
        <v>0</v>
      </c>
      <c r="I25" s="71">
        <v>145987</v>
      </c>
      <c r="J25" s="71">
        <v>56352</v>
      </c>
      <c r="K25" s="71">
        <v>112704</v>
      </c>
      <c r="L25" s="71">
        <v>338112</v>
      </c>
      <c r="M25" s="70">
        <f t="shared" si="4"/>
        <v>765859</v>
      </c>
    </row>
    <row r="26" spans="1:13" ht="25.5">
      <c r="A26" s="69" t="s">
        <v>131</v>
      </c>
      <c r="B26" s="64" t="s">
        <v>132</v>
      </c>
      <c r="C26" s="70">
        <v>6000000</v>
      </c>
      <c r="D26" s="72">
        <v>499375</v>
      </c>
      <c r="E26" s="72">
        <v>587500</v>
      </c>
      <c r="F26" s="72">
        <v>0</v>
      </c>
      <c r="G26" s="72">
        <v>0</v>
      </c>
      <c r="H26" s="70">
        <v>0</v>
      </c>
      <c r="I26" s="71">
        <v>470000</v>
      </c>
      <c r="J26" s="71">
        <v>499384</v>
      </c>
      <c r="K26" s="71">
        <v>440632</v>
      </c>
      <c r="L26" s="71">
        <v>352503</v>
      </c>
      <c r="M26" s="70">
        <f t="shared" si="4"/>
        <v>2849394</v>
      </c>
    </row>
    <row r="27" spans="1:13" ht="25.5">
      <c r="A27" s="69" t="s">
        <v>133</v>
      </c>
      <c r="B27" s="64" t="s">
        <v>134</v>
      </c>
      <c r="C27" s="70">
        <v>250000</v>
      </c>
      <c r="D27" s="72">
        <v>0</v>
      </c>
      <c r="E27" s="72">
        <v>56352</v>
      </c>
      <c r="F27" s="72">
        <v>0</v>
      </c>
      <c r="G27" s="72">
        <v>0</v>
      </c>
      <c r="H27" s="70">
        <v>0</v>
      </c>
      <c r="I27" s="71">
        <v>112704</v>
      </c>
      <c r="J27" s="71">
        <v>112704</v>
      </c>
      <c r="K27" s="71">
        <v>56352</v>
      </c>
      <c r="L27" s="71">
        <v>112704</v>
      </c>
      <c r="M27" s="70">
        <f t="shared" si="4"/>
        <v>450816</v>
      </c>
    </row>
    <row r="28" spans="1:13" ht="19.5" customHeight="1">
      <c r="A28" s="69" t="s">
        <v>135</v>
      </c>
      <c r="B28" s="64" t="s">
        <v>136</v>
      </c>
      <c r="C28" s="70">
        <v>3500000</v>
      </c>
      <c r="D28" s="72">
        <v>169056</v>
      </c>
      <c r="E28" s="72">
        <v>394464</v>
      </c>
      <c r="F28" s="72">
        <v>0</v>
      </c>
      <c r="G28" s="72">
        <v>0</v>
      </c>
      <c r="H28" s="70">
        <v>0</v>
      </c>
      <c r="I28" s="71">
        <v>112704</v>
      </c>
      <c r="J28" s="71">
        <v>394464</v>
      </c>
      <c r="K28" s="71">
        <v>507168</v>
      </c>
      <c r="L28" s="71">
        <v>281760</v>
      </c>
      <c r="M28" s="70">
        <f t="shared" si="4"/>
        <v>1859616</v>
      </c>
    </row>
    <row r="29" spans="1:13" ht="25.5">
      <c r="A29" s="69" t="s">
        <v>137</v>
      </c>
      <c r="B29" s="64" t="s">
        <v>138</v>
      </c>
      <c r="C29" s="70">
        <v>24200000</v>
      </c>
      <c r="D29" s="72">
        <v>0</v>
      </c>
      <c r="E29" s="72">
        <v>0</v>
      </c>
      <c r="F29" s="72">
        <v>0</v>
      </c>
      <c r="G29" s="72">
        <v>0</v>
      </c>
      <c r="H29" s="70">
        <v>0</v>
      </c>
      <c r="I29" s="71">
        <v>0</v>
      </c>
      <c r="J29" s="71">
        <v>0</v>
      </c>
      <c r="K29" s="71">
        <v>0</v>
      </c>
      <c r="L29" s="71">
        <v>0</v>
      </c>
      <c r="M29" s="70">
        <f t="shared" si="4"/>
        <v>0</v>
      </c>
    </row>
    <row r="30" spans="1:13" ht="25.5">
      <c r="A30" s="69" t="s">
        <v>139</v>
      </c>
      <c r="B30" s="64" t="s">
        <v>140</v>
      </c>
      <c r="C30" s="70">
        <v>9500000</v>
      </c>
      <c r="D30" s="72">
        <v>245800</v>
      </c>
      <c r="E30" s="72">
        <v>168463</v>
      </c>
      <c r="F30" s="72">
        <v>0</v>
      </c>
      <c r="G30" s="72">
        <v>0</v>
      </c>
      <c r="H30" s="70">
        <v>0</v>
      </c>
      <c r="I30" s="71">
        <v>136689</v>
      </c>
      <c r="J30" s="71">
        <v>259589</v>
      </c>
      <c r="K30" s="71">
        <v>218222</v>
      </c>
      <c r="L30" s="71">
        <v>354911</v>
      </c>
      <c r="M30" s="70">
        <f t="shared" si="4"/>
        <v>1383674</v>
      </c>
    </row>
    <row r="31" spans="1:13" ht="19.5" customHeight="1">
      <c r="A31" s="69" t="s">
        <v>141</v>
      </c>
      <c r="B31" s="64" t="s">
        <v>142</v>
      </c>
      <c r="C31" s="70">
        <v>110000</v>
      </c>
      <c r="D31" s="72">
        <v>0</v>
      </c>
      <c r="E31" s="72">
        <v>0</v>
      </c>
      <c r="F31" s="72">
        <v>0</v>
      </c>
      <c r="G31" s="72">
        <v>0</v>
      </c>
      <c r="H31" s="70">
        <v>0</v>
      </c>
      <c r="I31" s="71">
        <v>0</v>
      </c>
      <c r="J31" s="71">
        <v>0</v>
      </c>
      <c r="K31" s="71">
        <v>0</v>
      </c>
      <c r="L31" s="71">
        <v>476610</v>
      </c>
      <c r="M31" s="70">
        <f t="shared" si="4"/>
        <v>476610</v>
      </c>
    </row>
    <row r="32" spans="1:13" ht="25.5">
      <c r="A32" s="69" t="s">
        <v>143</v>
      </c>
      <c r="B32" s="64" t="s">
        <v>144</v>
      </c>
      <c r="C32" s="70">
        <v>3500000</v>
      </c>
      <c r="D32" s="72">
        <v>0</v>
      </c>
      <c r="E32" s="72">
        <v>0</v>
      </c>
      <c r="F32" s="72">
        <v>0</v>
      </c>
      <c r="G32" s="72">
        <v>0</v>
      </c>
      <c r="H32" s="70">
        <v>0</v>
      </c>
      <c r="I32" s="71">
        <v>0</v>
      </c>
      <c r="J32" s="71">
        <v>0</v>
      </c>
      <c r="K32" s="71">
        <v>0</v>
      </c>
      <c r="L32" s="71">
        <v>0</v>
      </c>
      <c r="M32" s="70">
        <f t="shared" si="4"/>
        <v>0</v>
      </c>
    </row>
    <row r="33" spans="1:13" ht="38.25">
      <c r="A33" s="69" t="s">
        <v>145</v>
      </c>
      <c r="B33" s="64" t="s">
        <v>146</v>
      </c>
      <c r="C33" s="70">
        <v>2200000</v>
      </c>
      <c r="D33" s="72">
        <v>0</v>
      </c>
      <c r="E33" s="72">
        <v>0</v>
      </c>
      <c r="F33" s="72">
        <v>0</v>
      </c>
      <c r="G33" s="72">
        <v>0</v>
      </c>
      <c r="H33" s="70">
        <v>0</v>
      </c>
      <c r="I33" s="71">
        <v>0</v>
      </c>
      <c r="J33" s="71">
        <v>0</v>
      </c>
      <c r="K33" s="71">
        <v>0</v>
      </c>
      <c r="L33" s="71"/>
      <c r="M33" s="70">
        <f t="shared" si="4"/>
        <v>0</v>
      </c>
    </row>
    <row r="34" spans="1:13" ht="25.5">
      <c r="A34" s="69" t="s">
        <v>147</v>
      </c>
      <c r="B34" s="64" t="s">
        <v>148</v>
      </c>
      <c r="C34" s="70">
        <v>112000000</v>
      </c>
      <c r="D34" s="72">
        <f>+'[5]cuadre por cuentas 20170101 al '!$D$149</f>
        <v>3874514</v>
      </c>
      <c r="E34" s="72">
        <f>+'[1]cuadre por cuentas 20170201 al '!$D$141</f>
        <v>8474616</v>
      </c>
      <c r="F34" s="72">
        <f>+'[2]cuadre por cuentas 20170301 al '!$D$143</f>
        <v>4924935</v>
      </c>
      <c r="G34" s="72">
        <f>+'[3]cuadre por cuentas 20170401 al '!$D$143</f>
        <v>1228482</v>
      </c>
      <c r="H34" s="70">
        <f>+'[4]cuadre por cuentas 20170501 al '!$D$143</f>
        <v>4234617</v>
      </c>
      <c r="I34" s="71">
        <v>12258153</v>
      </c>
      <c r="J34" s="71">
        <v>6876513</v>
      </c>
      <c r="K34" s="71">
        <v>1299177</v>
      </c>
      <c r="L34" s="71">
        <v>592470</v>
      </c>
      <c r="M34" s="70">
        <f t="shared" si="4"/>
        <v>43763477</v>
      </c>
    </row>
    <row r="35" spans="1:13" ht="25.5">
      <c r="A35" s="69" t="s">
        <v>149</v>
      </c>
      <c r="B35" s="64" t="s">
        <v>150</v>
      </c>
      <c r="C35" s="70">
        <v>27500000</v>
      </c>
      <c r="D35" s="72">
        <f>+'[5]cuadre por cuentas 20170101 al '!$D$121</f>
        <v>1505636</v>
      </c>
      <c r="E35" s="72">
        <f>+'[1]cuadre por cuentas 20170201 al '!$D$114</f>
        <v>1211410</v>
      </c>
      <c r="F35" s="72">
        <f>+'[2]cuadre por cuentas 20170301 al '!$D$115</f>
        <v>1237745</v>
      </c>
      <c r="G35" s="72">
        <f>+'[3]cuadre por cuentas 20170401 al '!$D$115</f>
        <v>1079735</v>
      </c>
      <c r="H35" s="70">
        <f>+'[4]cuadre por cuentas 20170501 al '!$D$115</f>
        <v>1079735</v>
      </c>
      <c r="I35" s="71">
        <v>1290415</v>
      </c>
      <c r="J35" s="71">
        <v>921725</v>
      </c>
      <c r="K35" s="71">
        <v>1106070</v>
      </c>
      <c r="L35" s="71">
        <v>1764445</v>
      </c>
      <c r="M35" s="70">
        <f t="shared" si="4"/>
        <v>11196916</v>
      </c>
    </row>
    <row r="36" spans="1:13" ht="25.5">
      <c r="A36" s="69" t="s">
        <v>151</v>
      </c>
      <c r="B36" s="64" t="s">
        <v>152</v>
      </c>
      <c r="C36" s="70">
        <v>18560000</v>
      </c>
      <c r="D36" s="72">
        <f>+'[5]cuadre por cuentas 20170101 al '!$D$123</f>
        <v>1998832</v>
      </c>
      <c r="E36" s="72">
        <f>+'[1]cuadre por cuentas 20170201 al '!$D$116</f>
        <v>1378527</v>
      </c>
      <c r="F36" s="72">
        <f>+'[2]cuadre por cuentas 20170301 al '!$D$117</f>
        <v>2850703</v>
      </c>
      <c r="G36" s="72">
        <f>+'[3]cuadre por cuentas 20170401 al '!$D$117</f>
        <v>1363543</v>
      </c>
      <c r="H36" s="70">
        <f>+'[4]cuadre por cuentas 20170501 al '!$D$117</f>
        <v>1947920</v>
      </c>
      <c r="I36" s="71">
        <f>1505892+4294</f>
        <v>1510186</v>
      </c>
      <c r="J36" s="71">
        <v>1457194</v>
      </c>
      <c r="K36" s="71">
        <v>2887471</v>
      </c>
      <c r="L36" s="71">
        <v>3978252</v>
      </c>
      <c r="M36" s="70">
        <f t="shared" si="4"/>
        <v>19372628</v>
      </c>
    </row>
    <row r="37" spans="1:13">
      <c r="A37" s="69" t="s">
        <v>153</v>
      </c>
      <c r="B37" s="64" t="s">
        <v>155</v>
      </c>
      <c r="C37" s="70">
        <v>660000</v>
      </c>
      <c r="D37" s="72">
        <f>+'[5]cuadre por cuentas 20170101 al '!$D$141</f>
        <v>21562</v>
      </c>
      <c r="E37" s="72">
        <v>43124</v>
      </c>
      <c r="F37" s="72">
        <f>+'[2]cuadre por cuentas 20170301 al '!$D$135</f>
        <v>85211</v>
      </c>
      <c r="G37" s="72">
        <f>+'[3]cuadre por cuentas 20170401 al '!$D$135</f>
        <v>36519</v>
      </c>
      <c r="H37" s="70">
        <f>+'[4]cuadre por cuentas 20170501 al '!$D$135</f>
        <v>36519</v>
      </c>
      <c r="I37" s="71">
        <v>36519</v>
      </c>
      <c r="J37" s="71">
        <v>24346</v>
      </c>
      <c r="K37" s="71">
        <v>12173</v>
      </c>
      <c r="L37" s="71">
        <v>36519</v>
      </c>
      <c r="M37" s="70">
        <f t="shared" si="4"/>
        <v>332492</v>
      </c>
    </row>
    <row r="38" spans="1:13">
      <c r="A38" s="69" t="s">
        <v>154</v>
      </c>
      <c r="B38" s="64" t="s">
        <v>157</v>
      </c>
      <c r="C38" s="70">
        <v>2420000</v>
      </c>
      <c r="D38" s="72">
        <f>+'[5]cuadre por cuentas 20170101 al '!$D$145+'[5]cuadre por cuentas 20170101 al '!$D$132</f>
        <v>158380</v>
      </c>
      <c r="E38" s="72">
        <f>+'[1]cuadre por cuentas 20170201 al '!$D$137</f>
        <v>16372</v>
      </c>
      <c r="F38" s="72">
        <f>+'[2]cuadre por cuentas 20170301 al '!$D$126</f>
        <v>163720</v>
      </c>
      <c r="G38" s="72">
        <f>+'[3]cuadre por cuentas 20170401 al '!$D$139</f>
        <v>16372</v>
      </c>
      <c r="H38" s="70">
        <f>+'[4]cuadre por cuentas 20170501 al '!$D$139</f>
        <v>16372</v>
      </c>
      <c r="I38" s="71">
        <v>130976</v>
      </c>
      <c r="J38" s="71">
        <v>49116</v>
      </c>
      <c r="K38" s="71">
        <v>65488</v>
      </c>
      <c r="L38" s="71">
        <v>16372</v>
      </c>
      <c r="M38" s="70">
        <f t="shared" si="4"/>
        <v>633168</v>
      </c>
    </row>
    <row r="39" spans="1:13">
      <c r="A39" s="69" t="s">
        <v>156</v>
      </c>
      <c r="B39" s="64" t="s">
        <v>159</v>
      </c>
      <c r="C39" s="70">
        <v>110000</v>
      </c>
      <c r="D39" s="72"/>
      <c r="E39" s="72">
        <v>0</v>
      </c>
      <c r="F39" s="72">
        <v>0</v>
      </c>
      <c r="G39" s="72">
        <v>0</v>
      </c>
      <c r="H39" s="70">
        <v>0</v>
      </c>
      <c r="I39" s="71">
        <v>0</v>
      </c>
      <c r="J39" s="71">
        <v>0</v>
      </c>
      <c r="K39" s="71">
        <v>0</v>
      </c>
      <c r="L39" s="71">
        <v>0</v>
      </c>
      <c r="M39" s="70">
        <f t="shared" si="4"/>
        <v>0</v>
      </c>
    </row>
    <row r="40" spans="1:13">
      <c r="A40" s="69" t="s">
        <v>158</v>
      </c>
      <c r="B40" s="64" t="s">
        <v>161</v>
      </c>
      <c r="C40" s="70">
        <v>2420000</v>
      </c>
      <c r="D40" s="72"/>
      <c r="E40" s="72">
        <v>0</v>
      </c>
      <c r="F40" s="72">
        <v>0</v>
      </c>
      <c r="G40" s="72">
        <v>0</v>
      </c>
      <c r="H40" s="70">
        <v>0</v>
      </c>
      <c r="I40" s="71">
        <v>0</v>
      </c>
      <c r="J40" s="71">
        <v>0</v>
      </c>
      <c r="K40" s="71">
        <v>0</v>
      </c>
      <c r="L40" s="71">
        <v>0</v>
      </c>
      <c r="M40" s="70">
        <f t="shared" si="4"/>
        <v>0</v>
      </c>
    </row>
    <row r="41" spans="1:13" ht="25.5">
      <c r="A41" s="69" t="s">
        <v>181</v>
      </c>
      <c r="B41" s="64" t="s">
        <v>163</v>
      </c>
      <c r="C41" s="70">
        <v>15730000</v>
      </c>
      <c r="D41" s="72">
        <v>467595</v>
      </c>
      <c r="E41" s="72">
        <v>814695</v>
      </c>
      <c r="F41" s="72">
        <v>0</v>
      </c>
      <c r="G41" s="72">
        <v>0</v>
      </c>
      <c r="H41" s="70">
        <v>0</v>
      </c>
      <c r="I41" s="71">
        <v>502965</v>
      </c>
      <c r="J41" s="71">
        <v>764940</v>
      </c>
      <c r="K41" s="71">
        <v>890230</v>
      </c>
      <c r="L41" s="71">
        <v>1499305</v>
      </c>
      <c r="M41" s="70">
        <f t="shared" si="4"/>
        <v>4939730</v>
      </c>
    </row>
    <row r="42" spans="1:13">
      <c r="A42" s="69" t="s">
        <v>182</v>
      </c>
      <c r="B42" s="64" t="s">
        <v>165</v>
      </c>
      <c r="C42" s="70">
        <v>2420000</v>
      </c>
      <c r="D42" s="72"/>
      <c r="E42" s="72">
        <v>0</v>
      </c>
      <c r="F42" s="72">
        <v>0</v>
      </c>
      <c r="G42" s="72">
        <v>0</v>
      </c>
      <c r="H42" s="70">
        <v>0</v>
      </c>
      <c r="I42" s="71">
        <v>0</v>
      </c>
      <c r="J42" s="71">
        <v>0</v>
      </c>
      <c r="K42" s="71">
        <v>0</v>
      </c>
      <c r="L42" s="71">
        <v>0</v>
      </c>
      <c r="M42" s="70">
        <f t="shared" si="4"/>
        <v>0</v>
      </c>
    </row>
    <row r="43" spans="1:13">
      <c r="A43" s="69" t="s">
        <v>160</v>
      </c>
      <c r="B43" s="64" t="s">
        <v>166</v>
      </c>
      <c r="C43" s="70">
        <v>2420000</v>
      </c>
      <c r="D43" s="72"/>
      <c r="E43" s="72">
        <v>0</v>
      </c>
      <c r="F43" s="72">
        <v>0</v>
      </c>
      <c r="G43" s="72">
        <v>0</v>
      </c>
      <c r="H43" s="70">
        <v>0</v>
      </c>
      <c r="I43" s="71">
        <v>0</v>
      </c>
      <c r="J43" s="71">
        <v>0</v>
      </c>
      <c r="K43" s="71">
        <v>0</v>
      </c>
      <c r="L43" s="71">
        <v>0</v>
      </c>
      <c r="M43" s="70">
        <f t="shared" si="4"/>
        <v>0</v>
      </c>
    </row>
    <row r="44" spans="1:13">
      <c r="A44" s="69" t="s">
        <v>162</v>
      </c>
      <c r="B44" s="64" t="s">
        <v>167</v>
      </c>
      <c r="C44" s="70">
        <v>18150000</v>
      </c>
      <c r="D44" s="72">
        <f>+'[5]cuadre por cuentas 20170101 al '!$D$142</f>
        <v>1157628</v>
      </c>
      <c r="E44" s="72">
        <f>+'[1]cuadre por cuentas 20170201 al '!$D$134</f>
        <v>911160</v>
      </c>
      <c r="F44" s="72">
        <f>+'[2]cuadre por cuentas 20170301 al '!$D$136</f>
        <v>951656</v>
      </c>
      <c r="G44" s="72">
        <f>+'[3]cuadre por cuentas 20170401 al '!$D$136</f>
        <v>830168</v>
      </c>
      <c r="H44" s="70">
        <f>+'[4]cuadre por cuentas 20170501 al '!$D$136</f>
        <v>830168</v>
      </c>
      <c r="I44" s="71">
        <v>4916</v>
      </c>
      <c r="J44" s="71">
        <v>708680</v>
      </c>
      <c r="K44" s="71">
        <v>850416</v>
      </c>
      <c r="L44" s="71">
        <v>1356616</v>
      </c>
      <c r="M44" s="70">
        <f t="shared" si="4"/>
        <v>7601408</v>
      </c>
    </row>
    <row r="45" spans="1:13">
      <c r="A45" s="69" t="s">
        <v>164</v>
      </c>
      <c r="B45" s="64" t="s">
        <v>168</v>
      </c>
      <c r="C45" s="70">
        <v>15000000</v>
      </c>
      <c r="D45" s="72">
        <f>+'[5]cuadre por cuentas 20170101 al '!$D$152</f>
        <v>229348</v>
      </c>
      <c r="E45" s="72">
        <f>+'[1]cuadre por cuentas 20170201 al '!$D$144</f>
        <v>456257</v>
      </c>
      <c r="F45" s="72">
        <f>+'[2]cuadre por cuentas 20170301 al '!$D$146</f>
        <v>1286011</v>
      </c>
      <c r="G45" s="72">
        <f>+'[3]cuadre por cuentas 20170401 al '!$D$146</f>
        <v>790527</v>
      </c>
      <c r="H45" s="70">
        <f>+'[4]cuadre por cuentas 20170501 al '!$D$146</f>
        <v>1887193</v>
      </c>
      <c r="I45" s="71">
        <v>158794</v>
      </c>
      <c r="J45" s="71">
        <v>89524</v>
      </c>
      <c r="K45" s="71">
        <v>1052411</v>
      </c>
      <c r="L45" s="71">
        <v>1607556</v>
      </c>
      <c r="M45" s="70">
        <f t="shared" si="4"/>
        <v>7557621</v>
      </c>
    </row>
    <row r="46" spans="1:13" ht="38.25">
      <c r="A46" s="69" t="s">
        <v>191</v>
      </c>
      <c r="B46" s="64" t="s">
        <v>192</v>
      </c>
      <c r="C46" s="70"/>
      <c r="D46" s="72"/>
      <c r="E46" s="72"/>
      <c r="F46" s="72">
        <f>+'[2]cuadre por cuentas 20170301 al '!$D$150</f>
        <v>103976015</v>
      </c>
      <c r="G46" s="72">
        <f>+'[3]cuadre por cuentas 20170401 al '!$D$151</f>
        <v>77347551</v>
      </c>
      <c r="H46" s="70">
        <f>+'[4]cuadre por cuentas 20170501 al '!$D$151</f>
        <v>89063264</v>
      </c>
      <c r="I46" s="70"/>
      <c r="J46" s="70"/>
      <c r="K46" s="70"/>
      <c r="L46" s="70"/>
      <c r="M46" s="70">
        <f t="shared" si="4"/>
        <v>270386830</v>
      </c>
    </row>
    <row r="47" spans="1:13" ht="38.25">
      <c r="A47" s="73"/>
      <c r="B47" s="65" t="s">
        <v>169</v>
      </c>
      <c r="C47" s="74">
        <f>+C3+C5</f>
        <v>9230000000</v>
      </c>
      <c r="D47" s="74">
        <f>+D3+D5</f>
        <v>285238529</v>
      </c>
      <c r="E47" s="74">
        <f t="shared" ref="E47:J47" si="5">+E3+E5</f>
        <v>377089733</v>
      </c>
      <c r="F47" s="74">
        <f t="shared" si="5"/>
        <v>554921901</v>
      </c>
      <c r="G47" s="74">
        <f t="shared" si="5"/>
        <v>446967303</v>
      </c>
      <c r="H47" s="74">
        <f t="shared" si="5"/>
        <v>462840511</v>
      </c>
      <c r="I47" s="74">
        <f t="shared" si="5"/>
        <v>423119412</v>
      </c>
      <c r="J47" s="74">
        <f t="shared" si="5"/>
        <v>292886691</v>
      </c>
      <c r="K47" s="74">
        <f>+K3+K5</f>
        <v>503361272</v>
      </c>
      <c r="L47" s="74">
        <f>L3+L5</f>
        <v>258996285</v>
      </c>
      <c r="M47" s="68">
        <f t="shared" si="4"/>
        <v>3605421637</v>
      </c>
    </row>
    <row r="48" spans="1:13" ht="22.5" customHeight="1">
      <c r="A48" s="67">
        <v>2</v>
      </c>
      <c r="B48" s="63" t="s">
        <v>170</v>
      </c>
      <c r="C48" s="70"/>
      <c r="D48" s="70"/>
      <c r="E48" s="70"/>
      <c r="F48" s="70"/>
      <c r="G48" s="70"/>
      <c r="H48" s="70"/>
      <c r="I48" s="71"/>
      <c r="J48" s="71"/>
      <c r="K48" s="71"/>
      <c r="L48" s="71"/>
      <c r="M48" s="70">
        <f t="shared" si="4"/>
        <v>0</v>
      </c>
    </row>
    <row r="49" spans="1:13" ht="25.5">
      <c r="A49" s="67">
        <v>2.1</v>
      </c>
      <c r="B49" s="63" t="s">
        <v>5</v>
      </c>
      <c r="C49" s="70">
        <v>0</v>
      </c>
      <c r="D49" s="70"/>
      <c r="E49" s="70"/>
      <c r="F49" s="70"/>
      <c r="G49" s="70"/>
      <c r="H49" s="70"/>
      <c r="I49" s="75"/>
      <c r="J49" s="75"/>
      <c r="K49" s="75"/>
      <c r="L49" s="75"/>
      <c r="M49" s="70">
        <f t="shared" si="4"/>
        <v>0</v>
      </c>
    </row>
    <row r="50" spans="1:13" ht="25.5">
      <c r="A50" s="67">
        <v>2.2000000000000002</v>
      </c>
      <c r="B50" s="63" t="s">
        <v>6</v>
      </c>
      <c r="C50" s="68">
        <v>10000000</v>
      </c>
      <c r="D50" s="68"/>
      <c r="E50" s="70"/>
      <c r="F50" s="70"/>
      <c r="G50" s="70"/>
      <c r="H50" s="70"/>
      <c r="I50" s="71"/>
      <c r="J50" s="71"/>
      <c r="K50" s="71"/>
      <c r="L50" s="71"/>
      <c r="M50" s="70">
        <f t="shared" si="4"/>
        <v>0</v>
      </c>
    </row>
    <row r="51" spans="1:13" ht="25.5">
      <c r="A51" s="67">
        <v>2.2999999999999998</v>
      </c>
      <c r="B51" s="63" t="s">
        <v>7</v>
      </c>
      <c r="C51" s="68">
        <f>SUM(C52:C55)</f>
        <v>3000000000</v>
      </c>
      <c r="D51" s="68">
        <f t="shared" ref="D51:L51" si="6">SUM(D52:D55)</f>
        <v>190554448</v>
      </c>
      <c r="E51" s="68">
        <f t="shared" si="6"/>
        <v>220809485</v>
      </c>
      <c r="F51" s="68">
        <f t="shared" si="6"/>
        <v>398505277</v>
      </c>
      <c r="G51" s="68">
        <f t="shared" si="6"/>
        <v>341003083</v>
      </c>
      <c r="H51" s="68">
        <f t="shared" si="6"/>
        <v>308662673</v>
      </c>
      <c r="I51" s="68">
        <f t="shared" si="6"/>
        <v>187280565</v>
      </c>
      <c r="J51" s="68">
        <f t="shared" si="6"/>
        <v>192971194</v>
      </c>
      <c r="K51" s="68">
        <f t="shared" si="6"/>
        <v>239017785</v>
      </c>
      <c r="L51" s="68">
        <f t="shared" si="6"/>
        <v>269986626</v>
      </c>
      <c r="M51" s="68">
        <f t="shared" si="4"/>
        <v>2348791136</v>
      </c>
    </row>
    <row r="52" spans="1:13" ht="25.5">
      <c r="A52" s="69" t="s">
        <v>171</v>
      </c>
      <c r="B52" s="66" t="s">
        <v>172</v>
      </c>
      <c r="C52" s="70">
        <v>1300000000</v>
      </c>
      <c r="D52" s="70">
        <f>+'[5]cuadre por cuentas 20170101 al '!$D$136</f>
        <v>65545371</v>
      </c>
      <c r="E52" s="70">
        <f>+'[1]cuadre por cuentas 20170201 al '!$D$129</f>
        <v>72648514</v>
      </c>
      <c r="F52" s="70">
        <f>+'[2]cuadre por cuentas 20170301 al '!$D$130</f>
        <v>98077252</v>
      </c>
      <c r="G52" s="70">
        <f>+'[3]cuadre por cuentas 20170401 al '!$D$130</f>
        <v>68372059</v>
      </c>
      <c r="H52" s="70">
        <f>+'[4]cuadre por cuentas 20170501 al '!$D$130</f>
        <v>68428433</v>
      </c>
      <c r="I52" s="70">
        <f>+'[6]cuadre por cuentas 20170601 al '!$D$130</f>
        <v>64763607</v>
      </c>
      <c r="J52" s="70">
        <f>+'[7]cuadre por cuentas 20170701 al '!$D$146</f>
        <v>68952501</v>
      </c>
      <c r="K52" s="71">
        <v>77299343</v>
      </c>
      <c r="L52" s="71">
        <v>85453785</v>
      </c>
      <c r="M52" s="70">
        <f t="shared" si="4"/>
        <v>669540865</v>
      </c>
    </row>
    <row r="53" spans="1:13" ht="25.5">
      <c r="A53" s="69" t="s">
        <v>173</v>
      </c>
      <c r="B53" s="66" t="s">
        <v>174</v>
      </c>
      <c r="C53" s="70">
        <v>470000000</v>
      </c>
      <c r="D53" s="70">
        <f>+'[5]cuadre por cuentas 20170101 al '!$D$135+'[5]cuadre por cuentas 20170101 al '!$D$137</f>
        <v>52250659</v>
      </c>
      <c r="E53" s="70">
        <f>+'[1]cuadre por cuentas 20170201 al '!$D$128+'[1]cuadre por cuentas 20170201 al '!$D$130</f>
        <v>54622977</v>
      </c>
      <c r="F53" s="70">
        <f>+'[2]cuadre por cuentas 20170301 al '!$D$129+'[2]cuadre por cuentas 20170301 al '!$D$131</f>
        <v>89619990</v>
      </c>
      <c r="G53" s="70">
        <f>+'[3]cuadre por cuentas 20170401 al '!$D$129+'[3]cuadre por cuentas 20170401 al '!$D$131</f>
        <v>66913228</v>
      </c>
      <c r="H53" s="70">
        <f>+'[4]cuadre por cuentas 20170501 al '!$D$129+'[4]cuadre por cuentas 20170501 al '!$D$131</f>
        <v>68764082</v>
      </c>
      <c r="I53" s="70">
        <f>+'[6]cuadre por cuentas 20170601 al '!$D$129+'[6]cuadre por cuentas 20170601 al '!$D$131</f>
        <v>57343883</v>
      </c>
      <c r="J53" s="70">
        <f>+'[7]cuadre por cuentas 20170701 al '!$D$145+'[7]cuadre por cuentas 20170701 al '!$D$147</f>
        <v>54866370</v>
      </c>
      <c r="K53" s="71">
        <v>66108625</v>
      </c>
      <c r="L53" s="71">
        <v>80177302</v>
      </c>
      <c r="M53" s="70">
        <f t="shared" si="4"/>
        <v>590667116</v>
      </c>
    </row>
    <row r="54" spans="1:13" ht="25.5">
      <c r="A54" s="76" t="s">
        <v>175</v>
      </c>
      <c r="B54" s="66" t="s">
        <v>177</v>
      </c>
      <c r="C54" s="70">
        <v>610000000</v>
      </c>
      <c r="D54" s="70">
        <f>+'[5]cuadre por cuentas 20170101 al '!$D$139</f>
        <v>27327964</v>
      </c>
      <c r="E54" s="70">
        <f>+'[1]cuadre por cuentas 20170201 al '!$D$132</f>
        <v>34861389</v>
      </c>
      <c r="F54" s="70">
        <f>+'[2]cuadre por cuentas 20170301 al '!$D$133</f>
        <v>79292369</v>
      </c>
      <c r="G54" s="70">
        <f>+'[3]cuadre por cuentas 20170401 al '!$D$133</f>
        <v>75945247</v>
      </c>
      <c r="H54" s="70">
        <f>+'[4]cuadre por cuentas 20170501 al '!$D$133</f>
        <v>68968892</v>
      </c>
      <c r="I54" s="70">
        <f>+'[6]cuadre por cuentas 20170601 al '!$D$133</f>
        <v>30350033</v>
      </c>
      <c r="J54" s="70">
        <f>+'[7]cuadre por cuentas 20170701 al '!$D$149</f>
        <v>32166646</v>
      </c>
      <c r="K54" s="71">
        <f>3954+43092889+212581</f>
        <v>43309424</v>
      </c>
      <c r="L54" s="71">
        <v>47710547</v>
      </c>
      <c r="M54" s="70">
        <f t="shared" si="4"/>
        <v>439932511</v>
      </c>
    </row>
    <row r="55" spans="1:13" ht="42" customHeight="1">
      <c r="A55" s="69" t="s">
        <v>176</v>
      </c>
      <c r="B55" s="66" t="s">
        <v>178</v>
      </c>
      <c r="C55" s="70">
        <v>620000000</v>
      </c>
      <c r="D55" s="70">
        <f>+'[5]cuadre por cuentas 20170101 al '!$D$138</f>
        <v>45430454</v>
      </c>
      <c r="E55" s="70">
        <f>+'[1]cuadre por cuentas 20170201 al '!$D$131</f>
        <v>58676605</v>
      </c>
      <c r="F55" s="70">
        <f>+'[2]cuadre por cuentas 20170301 al '!$D$132</f>
        <v>131515666</v>
      </c>
      <c r="G55" s="70">
        <f>+'[3]cuadre por cuentas 20170401 al '!$D$132</f>
        <v>129772549</v>
      </c>
      <c r="H55" s="70">
        <f>+'[4]cuadre por cuentas 20170501 al '!$D$132</f>
        <v>102501266</v>
      </c>
      <c r="I55" s="70">
        <f>+'[6]cuadre por cuentas 20170601 al '!$D$132</f>
        <v>34823042</v>
      </c>
      <c r="J55" s="70">
        <f>+'[7]cuadre por cuentas 20170701 al '!$D$148</f>
        <v>36985677</v>
      </c>
      <c r="K55" s="71">
        <f>52040960+259433</f>
        <v>52300393</v>
      </c>
      <c r="L55" s="71">
        <v>56644992</v>
      </c>
      <c r="M55" s="70">
        <f t="shared" si="4"/>
        <v>648650644</v>
      </c>
    </row>
    <row r="56" spans="1:13" ht="25.5">
      <c r="A56" s="67">
        <v>2.4</v>
      </c>
      <c r="B56" s="63" t="s">
        <v>8</v>
      </c>
      <c r="C56" s="68">
        <v>12000000</v>
      </c>
      <c r="D56" s="68">
        <v>452897</v>
      </c>
      <c r="E56" s="70">
        <v>687945</v>
      </c>
      <c r="F56" s="70">
        <v>0</v>
      </c>
      <c r="G56" s="70">
        <v>0</v>
      </c>
      <c r="H56" s="70"/>
      <c r="I56" s="70"/>
      <c r="J56" s="70"/>
      <c r="K56" s="70"/>
      <c r="L56" s="70"/>
      <c r="M56" s="68">
        <f t="shared" si="4"/>
        <v>1140842</v>
      </c>
    </row>
    <row r="57" spans="1:13" ht="18" customHeight="1">
      <c r="A57" s="67">
        <v>2.5</v>
      </c>
      <c r="B57" s="63" t="s">
        <v>9</v>
      </c>
      <c r="C57" s="68">
        <v>1000000</v>
      </c>
      <c r="D57" s="68">
        <v>0</v>
      </c>
      <c r="E57" s="70"/>
      <c r="F57" s="70">
        <v>0</v>
      </c>
      <c r="G57" s="70">
        <v>0</v>
      </c>
      <c r="H57" s="70"/>
      <c r="I57" s="70"/>
      <c r="J57" s="70"/>
      <c r="K57" s="70"/>
      <c r="L57" s="70"/>
      <c r="M57" s="70">
        <f t="shared" si="4"/>
        <v>0</v>
      </c>
    </row>
    <row r="58" spans="1:13" ht="33.75" customHeight="1">
      <c r="A58" s="73"/>
      <c r="B58" s="65" t="s">
        <v>179</v>
      </c>
      <c r="C58" s="74">
        <f>C49+C50+C51+C56+C57</f>
        <v>3023000000</v>
      </c>
      <c r="D58" s="74">
        <f t="shared" ref="D58:L58" si="7">D49+D50+D51+D56+D57</f>
        <v>191007345</v>
      </c>
      <c r="E58" s="74">
        <f>E49+E50+E51+E56+E57</f>
        <v>221497430</v>
      </c>
      <c r="F58" s="74">
        <f t="shared" si="7"/>
        <v>398505277</v>
      </c>
      <c r="G58" s="74">
        <f t="shared" si="7"/>
        <v>341003083</v>
      </c>
      <c r="H58" s="74">
        <f t="shared" si="7"/>
        <v>308662673</v>
      </c>
      <c r="I58" s="74">
        <f t="shared" si="7"/>
        <v>187280565</v>
      </c>
      <c r="J58" s="74">
        <f t="shared" si="7"/>
        <v>192971194</v>
      </c>
      <c r="K58" s="74">
        <f t="shared" si="7"/>
        <v>239017785</v>
      </c>
      <c r="L58" s="74">
        <f t="shared" si="7"/>
        <v>269986626</v>
      </c>
      <c r="M58" s="68">
        <f t="shared" si="4"/>
        <v>2349931978</v>
      </c>
    </row>
    <row r="59" spans="1:13" ht="24.75" customHeight="1">
      <c r="A59" s="121" t="s">
        <v>183</v>
      </c>
      <c r="B59" s="121"/>
      <c r="C59" s="83">
        <f>+C47+C58</f>
        <v>12253000000</v>
      </c>
      <c r="D59" s="77">
        <f t="shared" ref="D59:L59" si="8">+D47+D58</f>
        <v>476245874</v>
      </c>
      <c r="E59" s="77">
        <f t="shared" si="8"/>
        <v>598587163</v>
      </c>
      <c r="F59" s="77">
        <f t="shared" si="8"/>
        <v>953427178</v>
      </c>
      <c r="G59" s="77">
        <f t="shared" si="8"/>
        <v>787970386</v>
      </c>
      <c r="H59" s="77">
        <f t="shared" si="8"/>
        <v>771503184</v>
      </c>
      <c r="I59" s="77">
        <f t="shared" si="8"/>
        <v>610399977</v>
      </c>
      <c r="J59" s="77">
        <f t="shared" si="8"/>
        <v>485857885</v>
      </c>
      <c r="K59" s="77">
        <f t="shared" si="8"/>
        <v>742379057</v>
      </c>
      <c r="L59" s="77">
        <f t="shared" si="8"/>
        <v>528982911</v>
      </c>
      <c r="M59" s="68">
        <f t="shared" si="4"/>
        <v>5955353615</v>
      </c>
    </row>
    <row r="60" spans="1:13">
      <c r="A60" s="34"/>
      <c r="B60" s="61"/>
      <c r="C60" s="34"/>
      <c r="D60" s="34"/>
      <c r="E60" s="34"/>
      <c r="F60" s="34"/>
      <c r="G60" s="38"/>
      <c r="H60" s="38"/>
      <c r="I60" s="38"/>
      <c r="J60" s="38"/>
      <c r="K60" s="38"/>
      <c r="L60" s="38"/>
      <c r="M60" s="37"/>
    </row>
    <row r="61" spans="1:13">
      <c r="A61" s="34"/>
      <c r="B61" s="113" t="s">
        <v>238</v>
      </c>
      <c r="C61" s="37"/>
      <c r="D61" s="40"/>
      <c r="E61" s="40"/>
      <c r="F61" s="40"/>
      <c r="G61" s="40"/>
      <c r="H61" s="40"/>
      <c r="I61" s="40"/>
      <c r="J61" s="40"/>
      <c r="K61" s="45"/>
      <c r="L61" s="45"/>
      <c r="M61" s="45"/>
    </row>
    <row r="62" spans="1:13" ht="59.25" customHeight="1">
      <c r="A62" s="34"/>
      <c r="B62" s="113"/>
      <c r="C62" s="40"/>
      <c r="D62" s="34"/>
      <c r="E62" s="34"/>
      <c r="F62" s="34"/>
      <c r="G62" s="34"/>
      <c r="H62" s="34"/>
      <c r="I62" s="34"/>
      <c r="J62" s="34"/>
      <c r="K62" s="45"/>
      <c r="L62" s="45"/>
      <c r="M62" s="45"/>
    </row>
  </sheetData>
  <mergeCells count="15">
    <mergeCell ref="M1:M2"/>
    <mergeCell ref="A59:B59"/>
    <mergeCell ref="B61:B6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1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H11" sqref="H11"/>
    </sheetView>
  </sheetViews>
  <sheetFormatPr baseColWidth="10" defaultRowHeight="15"/>
  <cols>
    <col min="1" max="1" width="19.140625" customWidth="1"/>
    <col min="2" max="2" width="28" customWidth="1"/>
    <col min="3" max="3" width="15.5703125" customWidth="1"/>
    <col min="4" max="4" width="12.7109375" customWidth="1"/>
    <col min="5" max="5" width="15.85546875" customWidth="1"/>
    <col min="6" max="6" width="15.140625" customWidth="1"/>
    <col min="7" max="7" width="16" customWidth="1"/>
    <col min="8" max="8" width="17.42578125" bestFit="1" customWidth="1"/>
    <col min="9" max="9" width="19.28515625" bestFit="1" customWidth="1"/>
    <col min="10" max="10" width="17.7109375" bestFit="1" customWidth="1"/>
    <col min="11" max="11" width="17" bestFit="1" customWidth="1"/>
    <col min="12" max="12" width="16.7109375" bestFit="1" customWidth="1"/>
    <col min="13" max="13" width="16.85546875" bestFit="1" customWidth="1"/>
    <col min="14" max="14" width="16.7109375" bestFit="1" customWidth="1"/>
    <col min="15" max="15" width="18.28515625" bestFit="1" customWidth="1"/>
    <col min="16" max="16" width="21.42578125" bestFit="1" customWidth="1"/>
    <col min="17" max="17" width="19.28515625" bestFit="1" customWidth="1"/>
    <col min="18" max="18" width="26" bestFit="1" customWidth="1"/>
  </cols>
  <sheetData>
    <row r="1" spans="1:7" ht="24.75">
      <c r="A1" s="134" t="s">
        <v>242</v>
      </c>
      <c r="B1" s="134"/>
      <c r="C1" s="134"/>
      <c r="D1" s="134"/>
      <c r="E1" s="134"/>
      <c r="F1" s="134"/>
      <c r="G1" s="134"/>
    </row>
    <row r="2" spans="1:7">
      <c r="A2" s="135" t="s">
        <v>243</v>
      </c>
      <c r="B2" s="135" t="s">
        <v>244</v>
      </c>
      <c r="C2" s="135" t="s">
        <v>184</v>
      </c>
      <c r="D2" s="137" t="s">
        <v>245</v>
      </c>
      <c r="E2" s="137" t="s">
        <v>250</v>
      </c>
      <c r="F2" s="135" t="s">
        <v>246</v>
      </c>
      <c r="G2" s="135" t="s">
        <v>247</v>
      </c>
    </row>
    <row r="3" spans="1:7">
      <c r="A3" s="136"/>
      <c r="B3" s="136"/>
      <c r="C3" s="136"/>
      <c r="D3" s="138"/>
      <c r="E3" s="138"/>
      <c r="F3" s="136"/>
      <c r="G3" s="136"/>
    </row>
    <row r="4" spans="1:7">
      <c r="A4" s="98" t="s">
        <v>248</v>
      </c>
      <c r="B4" s="99" t="s">
        <v>249</v>
      </c>
      <c r="C4" s="14"/>
      <c r="D4" s="100">
        <v>10700000</v>
      </c>
      <c r="E4" s="100">
        <v>10700000</v>
      </c>
      <c r="F4" s="14"/>
      <c r="G4" s="14"/>
    </row>
    <row r="5" spans="1:7">
      <c r="A5" s="98" t="s">
        <v>251</v>
      </c>
      <c r="B5" s="99" t="s">
        <v>252</v>
      </c>
      <c r="C5" s="14"/>
      <c r="D5" s="100">
        <v>131600000</v>
      </c>
      <c r="E5" s="100">
        <v>131600000</v>
      </c>
      <c r="F5" s="14"/>
      <c r="G5" s="14"/>
    </row>
    <row r="6" spans="1:7">
      <c r="A6" s="98" t="s">
        <v>256</v>
      </c>
      <c r="B6" s="99" t="s">
        <v>253</v>
      </c>
      <c r="C6" s="14"/>
      <c r="D6" s="100">
        <v>88000000</v>
      </c>
      <c r="E6" s="100">
        <v>88000000</v>
      </c>
      <c r="F6" s="14"/>
      <c r="G6" s="14"/>
    </row>
    <row r="7" spans="1:7">
      <c r="A7" s="98" t="s">
        <v>255</v>
      </c>
      <c r="B7" s="99" t="s">
        <v>254</v>
      </c>
      <c r="C7" s="14"/>
      <c r="D7" s="100">
        <v>48000000</v>
      </c>
      <c r="E7" s="100">
        <v>48000000</v>
      </c>
      <c r="F7" s="14"/>
      <c r="G7" s="14"/>
    </row>
    <row r="8" spans="1:7">
      <c r="A8" s="59"/>
    </row>
    <row r="9" spans="1:7">
      <c r="A9" s="59"/>
    </row>
    <row r="10" spans="1:7">
      <c r="A10" s="59"/>
    </row>
    <row r="11" spans="1:7">
      <c r="A11" s="59"/>
    </row>
    <row r="12" spans="1:7">
      <c r="A12" s="59"/>
    </row>
    <row r="13" spans="1:7">
      <c r="A13" s="59"/>
    </row>
    <row r="14" spans="1:7">
      <c r="A14" s="59"/>
    </row>
    <row r="15" spans="1:7">
      <c r="A15" s="59"/>
    </row>
    <row r="16" spans="1:7">
      <c r="A16" s="59"/>
    </row>
    <row r="17" spans="1:1">
      <c r="A17" s="59"/>
    </row>
    <row r="18" spans="1:1">
      <c r="A18" s="59"/>
    </row>
    <row r="19" spans="1:1">
      <c r="A19" s="59"/>
    </row>
    <row r="20" spans="1:1">
      <c r="A20" s="59"/>
    </row>
    <row r="21" spans="1:1">
      <c r="A21" s="59"/>
    </row>
    <row r="22" spans="1:1">
      <c r="A22" s="59"/>
    </row>
    <row r="23" spans="1:1">
      <c r="A23" s="59"/>
    </row>
    <row r="24" spans="1:1">
      <c r="A24" s="59"/>
    </row>
    <row r="25" spans="1:1">
      <c r="A25" s="59"/>
    </row>
    <row r="26" spans="1:1">
      <c r="A26" s="59"/>
    </row>
    <row r="27" spans="1:1">
      <c r="A27" s="59"/>
    </row>
    <row r="28" spans="1:1">
      <c r="A28" s="59"/>
    </row>
    <row r="29" spans="1:1">
      <c r="A29" s="59"/>
    </row>
    <row r="30" spans="1:1">
      <c r="A30" s="59"/>
    </row>
    <row r="31" spans="1:1">
      <c r="A31" s="59"/>
    </row>
    <row r="32" spans="1:1">
      <c r="A32" s="59"/>
    </row>
    <row r="33" spans="1:1">
      <c r="A33" s="59"/>
    </row>
    <row r="34" spans="1:1">
      <c r="A34" s="59"/>
    </row>
    <row r="35" spans="1:1">
      <c r="A35" s="59"/>
    </row>
    <row r="36" spans="1:1">
      <c r="A36" s="59"/>
    </row>
    <row r="37" spans="1:1">
      <c r="A37" s="59"/>
    </row>
    <row r="38" spans="1:1">
      <c r="A38" s="59"/>
    </row>
    <row r="39" spans="1:1">
      <c r="A39" s="59"/>
    </row>
    <row r="40" spans="1:1">
      <c r="A40" s="59"/>
    </row>
    <row r="41" spans="1:1">
      <c r="A41" s="59"/>
    </row>
    <row r="42" spans="1:1">
      <c r="A42" s="59"/>
    </row>
    <row r="43" spans="1:1">
      <c r="A43" s="59"/>
    </row>
    <row r="44" spans="1:1">
      <c r="A44" s="59"/>
    </row>
    <row r="45" spans="1:1">
      <c r="A45" s="59"/>
    </row>
    <row r="46" spans="1:1">
      <c r="A46" s="59"/>
    </row>
    <row r="47" spans="1:1">
      <c r="A47" s="59"/>
    </row>
    <row r="48" spans="1:1">
      <c r="A48" s="59"/>
    </row>
    <row r="49" spans="1:1">
      <c r="A49" s="59"/>
    </row>
    <row r="50" spans="1:1">
      <c r="A50" s="59"/>
    </row>
    <row r="51" spans="1:1">
      <c r="A51" s="60">
        <f>SUM(A1:A50)</f>
        <v>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B1" workbookViewId="0">
      <selection activeCell="H1" sqref="H1:S1048576"/>
    </sheetView>
  </sheetViews>
  <sheetFormatPr baseColWidth="10" defaultRowHeight="15"/>
  <cols>
    <col min="2" max="2" width="58.42578125" customWidth="1"/>
    <col min="3" max="3" width="27" bestFit="1" customWidth="1"/>
    <col min="4" max="5" width="22.28515625" bestFit="1" customWidth="1"/>
    <col min="7" max="7" width="27" bestFit="1" customWidth="1"/>
    <col min="8" max="19" width="22.28515625" hidden="1" customWidth="1"/>
    <col min="20" max="20" width="25.28515625" customWidth="1"/>
    <col min="23" max="23" width="12.5703125" bestFit="1" customWidth="1"/>
  </cols>
  <sheetData>
    <row r="1" spans="1:20">
      <c r="A1" s="109" t="s">
        <v>22</v>
      </c>
      <c r="B1" s="109" t="s">
        <v>23</v>
      </c>
      <c r="C1" s="109" t="s">
        <v>85</v>
      </c>
      <c r="D1" s="111" t="s">
        <v>196</v>
      </c>
      <c r="E1" s="112"/>
      <c r="F1" s="109" t="s">
        <v>184</v>
      </c>
      <c r="G1" s="109" t="s">
        <v>187</v>
      </c>
      <c r="H1" s="109" t="s">
        <v>185</v>
      </c>
      <c r="I1" s="109" t="s">
        <v>186</v>
      </c>
      <c r="J1" s="109" t="s">
        <v>188</v>
      </c>
      <c r="K1" s="109" t="s">
        <v>189</v>
      </c>
      <c r="L1" s="109" t="s">
        <v>190</v>
      </c>
      <c r="M1" s="109" t="s">
        <v>193</v>
      </c>
      <c r="N1" s="109" t="s">
        <v>194</v>
      </c>
      <c r="O1" s="109" t="s">
        <v>199</v>
      </c>
      <c r="P1" s="109" t="s">
        <v>202</v>
      </c>
      <c r="Q1" s="109" t="s">
        <v>224</v>
      </c>
      <c r="R1" s="109" t="s">
        <v>233</v>
      </c>
      <c r="S1" s="109" t="s">
        <v>234</v>
      </c>
      <c r="T1" s="109" t="s">
        <v>235</v>
      </c>
    </row>
    <row r="2" spans="1:20">
      <c r="A2" s="110"/>
      <c r="B2" s="110"/>
      <c r="C2" s="110"/>
      <c r="D2" s="52" t="s">
        <v>197</v>
      </c>
      <c r="E2" s="52" t="s">
        <v>198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8.75">
      <c r="A3" s="11"/>
      <c r="B3" s="15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1"/>
      <c r="B4" s="11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>
      <c r="A5" s="46">
        <v>30501</v>
      </c>
      <c r="B5" s="11" t="s">
        <v>25</v>
      </c>
      <c r="C5" s="16">
        <f>SUM(C6:C16)</f>
        <v>4022665696</v>
      </c>
      <c r="D5" s="16">
        <f t="shared" ref="D5:T5" si="0">SUM(D6:D16)</f>
        <v>270700000</v>
      </c>
      <c r="E5" s="16">
        <f t="shared" si="0"/>
        <v>45000000</v>
      </c>
      <c r="F5" s="16">
        <f t="shared" si="0"/>
        <v>0</v>
      </c>
      <c r="G5" s="16">
        <f t="shared" si="0"/>
        <v>4248365696</v>
      </c>
      <c r="H5" s="16">
        <f t="shared" si="0"/>
        <v>290043177</v>
      </c>
      <c r="I5" s="16">
        <f t="shared" si="0"/>
        <v>285753880</v>
      </c>
      <c r="J5" s="16">
        <f t="shared" si="0"/>
        <v>280993839</v>
      </c>
      <c r="K5" s="16">
        <f t="shared" si="0"/>
        <v>299514360</v>
      </c>
      <c r="L5" s="16">
        <f t="shared" si="0"/>
        <v>286116645</v>
      </c>
      <c r="M5" s="16">
        <f t="shared" si="0"/>
        <v>301828330</v>
      </c>
      <c r="N5" s="16">
        <f t="shared" si="0"/>
        <v>542959023</v>
      </c>
      <c r="O5" s="16">
        <f t="shared" si="0"/>
        <v>333191529</v>
      </c>
      <c r="P5" s="16">
        <f t="shared" si="0"/>
        <v>309101965</v>
      </c>
      <c r="Q5" s="16">
        <f t="shared" si="0"/>
        <v>295167241</v>
      </c>
      <c r="R5" s="16">
        <f t="shared" si="0"/>
        <v>320968201</v>
      </c>
      <c r="S5" s="16">
        <f t="shared" si="0"/>
        <v>317858607</v>
      </c>
      <c r="T5" s="16">
        <f t="shared" si="0"/>
        <v>3863496797</v>
      </c>
    </row>
    <row r="6" spans="1:20">
      <c r="A6" s="46">
        <v>30501180401</v>
      </c>
      <c r="B6" s="17" t="s">
        <v>26</v>
      </c>
      <c r="C6" s="18">
        <v>3054529442</v>
      </c>
      <c r="D6" s="18">
        <v>45300000</v>
      </c>
      <c r="E6" s="18"/>
      <c r="F6" s="19"/>
      <c r="G6" s="19">
        <f>C6+D6-E6+F6</f>
        <v>3099829442</v>
      </c>
      <c r="H6" s="18">
        <v>243274394</v>
      </c>
      <c r="I6" s="18">
        <v>248637815</v>
      </c>
      <c r="J6" s="18">
        <v>236602499</v>
      </c>
      <c r="K6" s="18">
        <v>241621244</v>
      </c>
      <c r="L6" s="18">
        <v>243226636</v>
      </c>
      <c r="M6" s="18">
        <v>254060455</v>
      </c>
      <c r="N6" s="18">
        <v>339829240</v>
      </c>
      <c r="O6" s="18">
        <v>261630075</v>
      </c>
      <c r="P6" s="18">
        <v>259908483</v>
      </c>
      <c r="Q6" s="18">
        <v>248672171</v>
      </c>
      <c r="R6" s="18">
        <v>260478171</v>
      </c>
      <c r="S6" s="18"/>
      <c r="T6" s="19">
        <f>H6+I6+J6+K6+L6+M6+N6+O6+P6+Q6+R6+S6</f>
        <v>2837941183</v>
      </c>
    </row>
    <row r="7" spans="1:20">
      <c r="A7" s="46">
        <v>30501180402</v>
      </c>
      <c r="B7" s="11" t="s">
        <v>27</v>
      </c>
      <c r="C7" s="19">
        <v>257189583</v>
      </c>
      <c r="D7" s="19">
        <v>70000000</v>
      </c>
      <c r="E7" s="19">
        <f>10700000</f>
        <v>10700000</v>
      </c>
      <c r="F7" s="19"/>
      <c r="G7" s="19">
        <f t="shared" ref="G7:G28" si="1">C7+D7-E7+F7</f>
        <v>316489583</v>
      </c>
      <c r="H7" s="18"/>
      <c r="I7" s="18"/>
      <c r="J7" s="18">
        <v>0</v>
      </c>
      <c r="K7" s="18"/>
      <c r="L7" s="18"/>
      <c r="M7" s="18"/>
      <c r="N7" s="18"/>
      <c r="O7" s="18"/>
      <c r="P7" s="18"/>
      <c r="Q7" s="18">
        <v>0</v>
      </c>
      <c r="R7" s="18"/>
      <c r="S7" s="18">
        <v>314657683</v>
      </c>
      <c r="T7" s="19">
        <f t="shared" ref="T7:T28" si="2">H7+I7+J7+K7+L7+M7+N7+O7+P7+Q7+R7+S7</f>
        <v>314657683</v>
      </c>
    </row>
    <row r="8" spans="1:20">
      <c r="A8" s="46">
        <v>30501180403</v>
      </c>
      <c r="B8" s="11" t="s">
        <v>28</v>
      </c>
      <c r="C8" s="19">
        <v>128149827</v>
      </c>
      <c r="D8" s="19"/>
      <c r="E8" s="19">
        <v>20000000</v>
      </c>
      <c r="F8" s="19"/>
      <c r="G8" s="19">
        <f t="shared" si="1"/>
        <v>108149827</v>
      </c>
      <c r="H8" s="18">
        <v>5450543</v>
      </c>
      <c r="I8" s="18">
        <v>9503763</v>
      </c>
      <c r="J8" s="18">
        <v>6153039</v>
      </c>
      <c r="K8" s="18">
        <v>10832273</v>
      </c>
      <c r="L8" s="18">
        <v>7357416</v>
      </c>
      <c r="M8" s="18">
        <v>8596075</v>
      </c>
      <c r="N8" s="18">
        <v>4912094</v>
      </c>
      <c r="O8" s="18">
        <v>17499012</v>
      </c>
      <c r="P8" s="18">
        <v>10589604</v>
      </c>
      <c r="Q8" s="18">
        <v>7357476</v>
      </c>
      <c r="R8" s="18">
        <v>2664351</v>
      </c>
      <c r="S8" s="18">
        <v>2846831</v>
      </c>
      <c r="T8" s="19">
        <f t="shared" si="2"/>
        <v>93762477</v>
      </c>
    </row>
    <row r="9" spans="1:20">
      <c r="A9" s="46">
        <v>30501180404</v>
      </c>
      <c r="B9" s="11" t="s">
        <v>29</v>
      </c>
      <c r="C9" s="19">
        <v>15000000</v>
      </c>
      <c r="D9" s="19"/>
      <c r="E9" s="19">
        <v>10000000</v>
      </c>
      <c r="F9" s="19"/>
      <c r="G9" s="19">
        <f t="shared" si="1"/>
        <v>5000000</v>
      </c>
      <c r="H9" s="18"/>
      <c r="I9" s="18"/>
      <c r="J9" s="18">
        <v>0</v>
      </c>
      <c r="K9" s="18"/>
      <c r="L9" s="18"/>
      <c r="M9" s="18"/>
      <c r="N9" s="18"/>
      <c r="O9" s="18"/>
      <c r="P9" s="18"/>
      <c r="Q9" s="18">
        <v>0</v>
      </c>
      <c r="R9" s="18"/>
      <c r="S9" s="18">
        <v>0</v>
      </c>
      <c r="T9" s="19">
        <f t="shared" si="2"/>
        <v>0</v>
      </c>
    </row>
    <row r="10" spans="1:20">
      <c r="A10" s="46">
        <v>30501180405</v>
      </c>
      <c r="B10" s="11" t="s">
        <v>30</v>
      </c>
      <c r="C10" s="19">
        <v>3000000</v>
      </c>
      <c r="D10" s="19"/>
      <c r="E10" s="19"/>
      <c r="F10" s="19"/>
      <c r="G10" s="19">
        <f t="shared" si="1"/>
        <v>3000000</v>
      </c>
      <c r="H10" s="18">
        <v>107268</v>
      </c>
      <c r="I10" s="18">
        <v>107268</v>
      </c>
      <c r="J10" s="18">
        <v>166280</v>
      </c>
      <c r="K10" s="18">
        <v>166280</v>
      </c>
      <c r="L10" s="18">
        <v>166280</v>
      </c>
      <c r="M10" s="18">
        <v>166280</v>
      </c>
      <c r="N10" s="18">
        <v>166280</v>
      </c>
      <c r="O10" s="18">
        <v>166280</v>
      </c>
      <c r="P10" s="18">
        <v>83140</v>
      </c>
      <c r="Q10" s="18">
        <v>135795</v>
      </c>
      <c r="R10" s="18">
        <v>166280</v>
      </c>
      <c r="S10" s="18"/>
      <c r="T10" s="19">
        <f t="shared" si="2"/>
        <v>1597431</v>
      </c>
    </row>
    <row r="11" spans="1:20">
      <c r="A11" s="46">
        <v>30501180406</v>
      </c>
      <c r="B11" s="11" t="s">
        <v>31</v>
      </c>
      <c r="C11" s="19">
        <v>27000000</v>
      </c>
      <c r="D11" s="19"/>
      <c r="E11" s="19">
        <v>4300000</v>
      </c>
      <c r="F11" s="19"/>
      <c r="G11" s="19">
        <f t="shared" si="1"/>
        <v>22700000</v>
      </c>
      <c r="H11" s="18"/>
      <c r="I11" s="18"/>
      <c r="J11" s="18">
        <v>0</v>
      </c>
      <c r="K11" s="18"/>
      <c r="L11" s="18"/>
      <c r="M11" s="18"/>
      <c r="N11" s="18"/>
      <c r="O11" s="18">
        <v>3692494</v>
      </c>
      <c r="P11" s="18"/>
      <c r="Q11" s="18"/>
      <c r="R11" s="18">
        <v>18893365</v>
      </c>
      <c r="S11" s="18">
        <v>0</v>
      </c>
      <c r="T11" s="19">
        <f t="shared" si="2"/>
        <v>22585859</v>
      </c>
    </row>
    <row r="12" spans="1:20">
      <c r="A12" s="46">
        <v>30501180407</v>
      </c>
      <c r="B12" s="11" t="s">
        <v>32</v>
      </c>
      <c r="C12" s="19">
        <v>1000000</v>
      </c>
      <c r="D12" s="19"/>
      <c r="E12" s="19"/>
      <c r="F12" s="19"/>
      <c r="G12" s="19">
        <f t="shared" si="1"/>
        <v>1000000</v>
      </c>
      <c r="H12" s="18"/>
      <c r="I12" s="18"/>
      <c r="J12" s="18">
        <v>0</v>
      </c>
      <c r="K12" s="18"/>
      <c r="L12" s="18"/>
      <c r="M12" s="18"/>
      <c r="N12" s="18"/>
      <c r="O12" s="18"/>
      <c r="P12" s="18"/>
      <c r="Q12" s="18"/>
      <c r="R12" s="18"/>
      <c r="S12" s="18">
        <v>0</v>
      </c>
      <c r="T12" s="19">
        <f t="shared" si="2"/>
        <v>0</v>
      </c>
    </row>
    <row r="13" spans="1:20">
      <c r="A13" s="46">
        <v>30501180408</v>
      </c>
      <c r="B13" s="11" t="s">
        <v>33</v>
      </c>
      <c r="C13" s="19">
        <v>300000000</v>
      </c>
      <c r="D13" s="19">
        <f>90000000+15000000+2700000</f>
        <v>107700000</v>
      </c>
      <c r="E13" s="19"/>
      <c r="F13" s="19"/>
      <c r="G13" s="19">
        <f t="shared" si="1"/>
        <v>407700000</v>
      </c>
      <c r="H13" s="18">
        <v>30970283</v>
      </c>
      <c r="I13" s="18">
        <v>23046868</v>
      </c>
      <c r="J13" s="18">
        <v>29033767</v>
      </c>
      <c r="K13" s="18">
        <v>39852756</v>
      </c>
      <c r="L13" s="18">
        <v>30230764</v>
      </c>
      <c r="M13" s="18">
        <v>31427020</v>
      </c>
      <c r="N13" s="18">
        <v>54360179</v>
      </c>
      <c r="O13" s="18">
        <v>32225375</v>
      </c>
      <c r="P13" s="18">
        <v>26332600</v>
      </c>
      <c r="Q13" s="18">
        <v>32038412</v>
      </c>
      <c r="R13" s="18">
        <v>35123282</v>
      </c>
      <c r="S13" s="18"/>
      <c r="T13" s="19">
        <f t="shared" si="2"/>
        <v>364641306</v>
      </c>
    </row>
    <row r="14" spans="1:20">
      <c r="A14" s="46">
        <v>30501180409</v>
      </c>
      <c r="B14" s="11" t="s">
        <v>34</v>
      </c>
      <c r="C14" s="19">
        <v>127706402</v>
      </c>
      <c r="D14" s="19">
        <v>10700000</v>
      </c>
      <c r="E14" s="19"/>
      <c r="F14" s="19"/>
      <c r="G14" s="19">
        <f t="shared" si="1"/>
        <v>138406402</v>
      </c>
      <c r="H14" s="18"/>
      <c r="I14" s="18"/>
      <c r="J14" s="18">
        <v>0</v>
      </c>
      <c r="K14" s="18"/>
      <c r="L14" s="18"/>
      <c r="M14" s="18"/>
      <c r="N14" s="18">
        <v>138291178</v>
      </c>
      <c r="O14" s="18"/>
      <c r="P14" s="18"/>
      <c r="Q14" s="18"/>
      <c r="R14" s="18"/>
      <c r="S14" s="18">
        <v>0</v>
      </c>
      <c r="T14" s="19">
        <f t="shared" si="2"/>
        <v>138291178</v>
      </c>
    </row>
    <row r="15" spans="1:20">
      <c r="A15" s="46">
        <v>30501180410</v>
      </c>
      <c r="B15" s="11" t="s">
        <v>35</v>
      </c>
      <c r="C15" s="19">
        <v>89090442</v>
      </c>
      <c r="D15" s="19">
        <v>27000000</v>
      </c>
      <c r="E15" s="19"/>
      <c r="F15" s="19"/>
      <c r="G15" s="19">
        <f t="shared" si="1"/>
        <v>116090442</v>
      </c>
      <c r="H15" s="18">
        <v>9548557</v>
      </c>
      <c r="I15" s="18">
        <v>3257578</v>
      </c>
      <c r="J15" s="18">
        <v>8259466</v>
      </c>
      <c r="K15" s="18">
        <v>5682893</v>
      </c>
      <c r="L15" s="18">
        <v>4215231</v>
      </c>
      <c r="M15" s="18">
        <v>6509386</v>
      </c>
      <c r="N15" s="18">
        <v>5080233</v>
      </c>
      <c r="O15" s="18">
        <v>15798469</v>
      </c>
      <c r="P15" s="18">
        <v>770992</v>
      </c>
      <c r="Q15" s="18">
        <v>6048261</v>
      </c>
      <c r="R15" s="18">
        <v>3310790</v>
      </c>
      <c r="S15" s="18"/>
      <c r="T15" s="19">
        <f t="shared" si="2"/>
        <v>68481856</v>
      </c>
    </row>
    <row r="16" spans="1:20">
      <c r="A16" s="46">
        <v>30501180411</v>
      </c>
      <c r="B16" s="11" t="s">
        <v>36</v>
      </c>
      <c r="C16" s="19">
        <v>20000000</v>
      </c>
      <c r="D16" s="19">
        <v>10000000</v>
      </c>
      <c r="E16" s="19"/>
      <c r="F16" s="19"/>
      <c r="G16" s="19">
        <f t="shared" si="1"/>
        <v>30000000</v>
      </c>
      <c r="H16" s="18">
        <v>692132</v>
      </c>
      <c r="I16" s="18">
        <v>1200588</v>
      </c>
      <c r="J16" s="18">
        <v>778788</v>
      </c>
      <c r="K16" s="18">
        <v>1358914</v>
      </c>
      <c r="L16" s="18">
        <v>920318</v>
      </c>
      <c r="M16" s="18">
        <v>1069114</v>
      </c>
      <c r="N16" s="18">
        <v>319819</v>
      </c>
      <c r="O16" s="18">
        <v>2179824</v>
      </c>
      <c r="P16" s="18">
        <v>11417146</v>
      </c>
      <c r="Q16" s="18">
        <v>915126</v>
      </c>
      <c r="R16" s="18">
        <v>331962</v>
      </c>
      <c r="S16" s="18">
        <v>354093</v>
      </c>
      <c r="T16" s="19">
        <f t="shared" si="2"/>
        <v>21537824</v>
      </c>
    </row>
    <row r="17" spans="1:20">
      <c r="A17" s="11"/>
      <c r="B17" s="11" t="s">
        <v>37</v>
      </c>
      <c r="C17" s="16">
        <f t="shared" ref="C17:G17" si="3">SUM(C18:C21)</f>
        <v>1403207526</v>
      </c>
      <c r="D17" s="16">
        <f t="shared" si="3"/>
        <v>0</v>
      </c>
      <c r="E17" s="16">
        <f t="shared" si="3"/>
        <v>30000000</v>
      </c>
      <c r="F17" s="16">
        <f t="shared" si="3"/>
        <v>0</v>
      </c>
      <c r="G17" s="16">
        <f t="shared" si="3"/>
        <v>1373207526</v>
      </c>
      <c r="H17" s="16">
        <f t="shared" ref="H17:I17" si="4">SUM(H18:H21)</f>
        <v>58452988</v>
      </c>
      <c r="I17" s="16">
        <f t="shared" si="4"/>
        <v>52998721</v>
      </c>
      <c r="J17" s="16">
        <f>SUM(J18:J21)</f>
        <v>205000000</v>
      </c>
      <c r="K17" s="16">
        <f t="shared" ref="K17:T17" si="5">SUM(K18:K21)</f>
        <v>63500000</v>
      </c>
      <c r="L17" s="16">
        <f t="shared" si="5"/>
        <v>80700000</v>
      </c>
      <c r="M17" s="16">
        <f t="shared" si="5"/>
        <v>84905756</v>
      </c>
      <c r="N17" s="16">
        <f t="shared" si="5"/>
        <v>81616666</v>
      </c>
      <c r="O17" s="16">
        <f t="shared" si="5"/>
        <v>0</v>
      </c>
      <c r="P17" s="16">
        <f t="shared" si="5"/>
        <v>68000000</v>
      </c>
      <c r="Q17" s="16">
        <f t="shared" si="5"/>
        <v>0</v>
      </c>
      <c r="R17" s="16">
        <f t="shared" si="5"/>
        <v>0</v>
      </c>
      <c r="S17" s="16">
        <f t="shared" si="5"/>
        <v>104372619</v>
      </c>
      <c r="T17" s="16">
        <f t="shared" si="5"/>
        <v>799546750</v>
      </c>
    </row>
    <row r="18" spans="1:20">
      <c r="A18" s="46">
        <v>30501180412</v>
      </c>
      <c r="B18" s="11" t="s">
        <v>38</v>
      </c>
      <c r="C18" s="19">
        <v>459500000</v>
      </c>
      <c r="D18" s="19"/>
      <c r="E18" s="19">
        <v>30000000</v>
      </c>
      <c r="F18" s="19"/>
      <c r="G18" s="19">
        <f t="shared" si="1"/>
        <v>429500000</v>
      </c>
      <c r="H18" s="18">
        <v>25500000</v>
      </c>
      <c r="I18" s="18">
        <v>36000000</v>
      </c>
      <c r="J18" s="18">
        <v>167000000</v>
      </c>
      <c r="K18" s="18">
        <v>25500000</v>
      </c>
      <c r="L18" s="18">
        <v>0</v>
      </c>
      <c r="M18" s="18">
        <v>41400000</v>
      </c>
      <c r="N18" s="18">
        <v>81616666</v>
      </c>
      <c r="O18" s="18"/>
      <c r="P18" s="18"/>
      <c r="Q18" s="18"/>
      <c r="R18" s="18"/>
      <c r="S18" s="18">
        <v>17145116</v>
      </c>
      <c r="T18" s="19">
        <f t="shared" si="2"/>
        <v>394161782</v>
      </c>
    </row>
    <row r="19" spans="1:20">
      <c r="A19" s="46">
        <v>30501180413</v>
      </c>
      <c r="B19" s="14" t="s">
        <v>200</v>
      </c>
      <c r="C19" s="19">
        <v>250000000</v>
      </c>
      <c r="D19" s="19"/>
      <c r="E19" s="19"/>
      <c r="F19" s="19"/>
      <c r="G19" s="19">
        <f t="shared" si="1"/>
        <v>250000000</v>
      </c>
      <c r="H19" s="18">
        <v>32952988</v>
      </c>
      <c r="I19" s="18">
        <v>16998721</v>
      </c>
      <c r="J19" s="18"/>
      <c r="K19" s="18">
        <v>0</v>
      </c>
      <c r="L19" s="18">
        <v>12700000</v>
      </c>
      <c r="M19" s="18">
        <v>1835252</v>
      </c>
      <c r="N19" s="18"/>
      <c r="O19" s="18"/>
      <c r="P19" s="18"/>
      <c r="Q19" s="18"/>
      <c r="R19" s="18"/>
      <c r="S19" s="18">
        <f>60123254+57255+22478056+83140</f>
        <v>82741705</v>
      </c>
      <c r="T19" s="19">
        <f t="shared" si="2"/>
        <v>147228666</v>
      </c>
    </row>
    <row r="20" spans="1:20">
      <c r="A20" s="46">
        <v>30501180414</v>
      </c>
      <c r="B20" s="11" t="s">
        <v>39</v>
      </c>
      <c r="C20" s="19">
        <v>692707526</v>
      </c>
      <c r="D20" s="19"/>
      <c r="E20" s="19"/>
      <c r="F20" s="19"/>
      <c r="G20" s="19">
        <f t="shared" si="1"/>
        <v>692707526</v>
      </c>
      <c r="H20" s="18"/>
      <c r="I20" s="18"/>
      <c r="J20" s="18">
        <v>38000000</v>
      </c>
      <c r="K20" s="18">
        <v>38000000</v>
      </c>
      <c r="L20" s="18">
        <v>68000000</v>
      </c>
      <c r="M20" s="18">
        <v>41670504</v>
      </c>
      <c r="N20" s="18"/>
      <c r="O20" s="18"/>
      <c r="P20" s="18">
        <v>68000000</v>
      </c>
      <c r="Q20" s="18"/>
      <c r="R20" s="18"/>
      <c r="S20" s="18">
        <v>4485798</v>
      </c>
      <c r="T20" s="19">
        <f t="shared" si="2"/>
        <v>258156302</v>
      </c>
    </row>
    <row r="21" spans="1:20">
      <c r="A21" s="46">
        <v>30501180415</v>
      </c>
      <c r="B21" s="11" t="s">
        <v>40</v>
      </c>
      <c r="C21" s="19">
        <v>1000000</v>
      </c>
      <c r="D21" s="19"/>
      <c r="E21" s="19"/>
      <c r="F21" s="19"/>
      <c r="G21" s="19">
        <f t="shared" si="1"/>
        <v>1000000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>
        <f t="shared" si="2"/>
        <v>0</v>
      </c>
    </row>
    <row r="22" spans="1:20">
      <c r="A22" s="46">
        <v>30501180416</v>
      </c>
      <c r="B22" s="11" t="s">
        <v>41</v>
      </c>
      <c r="C22" s="16">
        <f>SUM(C23:C28)</f>
        <v>1278084245</v>
      </c>
      <c r="D22" s="16">
        <f t="shared" ref="D22:G22" si="6">SUM(D23:D28)</f>
        <v>0</v>
      </c>
      <c r="E22" s="16">
        <f t="shared" si="6"/>
        <v>183300000</v>
      </c>
      <c r="F22" s="16">
        <f t="shared" si="6"/>
        <v>0</v>
      </c>
      <c r="G22" s="16">
        <f t="shared" si="6"/>
        <v>1094784245</v>
      </c>
      <c r="H22" s="16">
        <f>SUM(H23:H28)</f>
        <v>63294216</v>
      </c>
      <c r="I22" s="16">
        <f t="shared" ref="I22:T22" si="7">SUM(I23:I28)</f>
        <v>62564452</v>
      </c>
      <c r="J22" s="16">
        <f t="shared" si="7"/>
        <v>61121814</v>
      </c>
      <c r="K22" s="16">
        <f t="shared" si="7"/>
        <v>63592345</v>
      </c>
      <c r="L22" s="16">
        <f t="shared" si="7"/>
        <v>65154374</v>
      </c>
      <c r="M22" s="16">
        <f t="shared" si="7"/>
        <v>56845921</v>
      </c>
      <c r="N22" s="16">
        <f t="shared" si="7"/>
        <v>76952816</v>
      </c>
      <c r="O22" s="16">
        <f t="shared" si="7"/>
        <v>58471399</v>
      </c>
      <c r="P22" s="16">
        <f t="shared" si="7"/>
        <v>57172249</v>
      </c>
      <c r="Q22" s="16">
        <f t="shared" si="7"/>
        <v>56827755</v>
      </c>
      <c r="R22" s="16">
        <f t="shared" si="7"/>
        <v>62235783</v>
      </c>
      <c r="S22" s="16">
        <f t="shared" si="7"/>
        <v>157345724</v>
      </c>
      <c r="T22" s="56">
        <f t="shared" si="7"/>
        <v>841578848</v>
      </c>
    </row>
    <row r="23" spans="1:20">
      <c r="A23" s="46">
        <v>30501180417</v>
      </c>
      <c r="B23" s="11" t="s">
        <v>42</v>
      </c>
      <c r="C23" s="19">
        <v>122301178</v>
      </c>
      <c r="D23" s="19"/>
      <c r="E23" s="19"/>
      <c r="F23" s="19"/>
      <c r="G23" s="19">
        <f t="shared" si="1"/>
        <v>122301178</v>
      </c>
      <c r="H23" s="26">
        <v>9518100</v>
      </c>
      <c r="I23" s="26">
        <v>9303400</v>
      </c>
      <c r="J23" s="26">
        <v>8956874</v>
      </c>
      <c r="K23" s="26">
        <v>9056235</v>
      </c>
      <c r="L23" s="26">
        <v>9154789</v>
      </c>
      <c r="M23" s="26">
        <v>9456871</v>
      </c>
      <c r="N23" s="26">
        <v>10574822</v>
      </c>
      <c r="O23" s="26">
        <v>7542681</v>
      </c>
      <c r="P23" s="26">
        <v>7241864</v>
      </c>
      <c r="Q23" s="26">
        <v>7024589</v>
      </c>
      <c r="R23" s="26">
        <v>7986542</v>
      </c>
      <c r="S23" s="26">
        <v>17025894</v>
      </c>
      <c r="T23" s="19">
        <f t="shared" si="2"/>
        <v>112842661</v>
      </c>
    </row>
    <row r="24" spans="1:20">
      <c r="A24" s="46">
        <v>30501180418</v>
      </c>
      <c r="B24" s="11" t="s">
        <v>43</v>
      </c>
      <c r="C24" s="19">
        <v>120229971</v>
      </c>
      <c r="D24" s="19"/>
      <c r="E24" s="19">
        <v>20000000</v>
      </c>
      <c r="F24" s="19"/>
      <c r="G24" s="19">
        <f t="shared" si="1"/>
        <v>100229971</v>
      </c>
      <c r="H24" s="26">
        <v>5903900</v>
      </c>
      <c r="I24" s="26">
        <v>5849200</v>
      </c>
      <c r="J24" s="26">
        <v>5145782</v>
      </c>
      <c r="K24" s="26">
        <v>5238756</v>
      </c>
      <c r="L24" s="26">
        <v>5295641</v>
      </c>
      <c r="M24" s="26">
        <v>5746812</v>
      </c>
      <c r="N24" s="26">
        <v>6425518</v>
      </c>
      <c r="O24" s="26">
        <v>4123586</v>
      </c>
      <c r="P24" s="26">
        <v>3952687</v>
      </c>
      <c r="Q24" s="26">
        <v>3897452</v>
      </c>
      <c r="R24" s="26">
        <v>4035762</v>
      </c>
      <c r="S24" s="26">
        <v>9768542</v>
      </c>
      <c r="T24" s="19">
        <f t="shared" si="2"/>
        <v>65383638</v>
      </c>
    </row>
    <row r="25" spans="1:20">
      <c r="A25" s="46">
        <v>30501180419</v>
      </c>
      <c r="B25" s="11" t="s">
        <v>44</v>
      </c>
      <c r="C25" s="19">
        <v>80453314</v>
      </c>
      <c r="D25" s="19"/>
      <c r="E25" s="19">
        <v>20000000</v>
      </c>
      <c r="F25" s="19"/>
      <c r="G25" s="19">
        <f t="shared" si="1"/>
        <v>60453314</v>
      </c>
      <c r="H25" s="26">
        <v>1189000</v>
      </c>
      <c r="I25" s="26">
        <v>1161900</v>
      </c>
      <c r="J25" s="26">
        <v>1095844</v>
      </c>
      <c r="K25" s="26">
        <v>1100524</v>
      </c>
      <c r="L25" s="26">
        <v>1201623</v>
      </c>
      <c r="M25" s="26">
        <v>1295874</v>
      </c>
      <c r="N25" s="26">
        <v>1658746</v>
      </c>
      <c r="O25" s="26">
        <v>1056547</v>
      </c>
      <c r="P25" s="26">
        <v>985463</v>
      </c>
      <c r="Q25" s="26">
        <v>979542</v>
      </c>
      <c r="R25" s="26">
        <v>1356874</v>
      </c>
      <c r="S25" s="26">
        <v>3965841</v>
      </c>
      <c r="T25" s="19">
        <f t="shared" si="2"/>
        <v>17047778</v>
      </c>
    </row>
    <row r="26" spans="1:20">
      <c r="A26" s="46">
        <v>30501180420</v>
      </c>
      <c r="B26" s="11" t="s">
        <v>45</v>
      </c>
      <c r="C26" s="19">
        <v>80453314</v>
      </c>
      <c r="D26" s="19"/>
      <c r="E26" s="19"/>
      <c r="F26" s="19"/>
      <c r="G26" s="19">
        <f t="shared" si="1"/>
        <v>80453314</v>
      </c>
      <c r="H26" s="26">
        <v>1189000</v>
      </c>
      <c r="I26" s="26">
        <v>1161900</v>
      </c>
      <c r="J26" s="26">
        <v>1095844</v>
      </c>
      <c r="K26" s="26">
        <v>1100524</v>
      </c>
      <c r="L26" s="26">
        <v>1201623</v>
      </c>
      <c r="M26" s="26">
        <v>1295874</v>
      </c>
      <c r="N26" s="26">
        <v>1658746</v>
      </c>
      <c r="O26" s="26">
        <v>1056547</v>
      </c>
      <c r="P26" s="26">
        <v>985463</v>
      </c>
      <c r="Q26" s="26">
        <v>979542</v>
      </c>
      <c r="R26" s="26">
        <v>1356874</v>
      </c>
      <c r="S26" s="26">
        <v>3965841</v>
      </c>
      <c r="T26" s="19">
        <f t="shared" si="2"/>
        <v>17047778</v>
      </c>
    </row>
    <row r="27" spans="1:20">
      <c r="A27" s="46">
        <v>30501180421</v>
      </c>
      <c r="B27" s="11" t="s">
        <v>46</v>
      </c>
      <c r="C27" s="19">
        <v>50000000</v>
      </c>
      <c r="D27" s="19"/>
      <c r="E27" s="19"/>
      <c r="F27" s="19"/>
      <c r="G27" s="19">
        <f t="shared" si="1"/>
        <v>50000000</v>
      </c>
      <c r="H27" s="26">
        <v>2379400</v>
      </c>
      <c r="I27" s="26">
        <v>2326100</v>
      </c>
      <c r="J27" s="26">
        <v>2258741</v>
      </c>
      <c r="K27" s="26">
        <f>K26*2</f>
        <v>2201048</v>
      </c>
      <c r="L27" s="26">
        <f>L26*2</f>
        <v>2403246</v>
      </c>
      <c r="M27" s="26">
        <f>M26*2</f>
        <v>2591748</v>
      </c>
      <c r="N27" s="26">
        <f>N26*2</f>
        <v>3317492</v>
      </c>
      <c r="O27" s="26">
        <f>O26*2</f>
        <v>2113094</v>
      </c>
      <c r="P27" s="26">
        <v>1970926</v>
      </c>
      <c r="Q27" s="26">
        <f>Q26*2</f>
        <v>1959084</v>
      </c>
      <c r="R27" s="26">
        <f>R26*2</f>
        <v>2713748</v>
      </c>
      <c r="S27" s="26">
        <f>S26*2</f>
        <v>7931682</v>
      </c>
      <c r="T27" s="19">
        <f t="shared" si="2"/>
        <v>34166309</v>
      </c>
    </row>
    <row r="28" spans="1:20">
      <c r="A28" s="46">
        <v>30501180422</v>
      </c>
      <c r="B28" s="11" t="s">
        <v>47</v>
      </c>
      <c r="C28" s="19">
        <v>824646468</v>
      </c>
      <c r="D28" s="19"/>
      <c r="E28" s="19">
        <f>97300000+18000000+28000000</f>
        <v>143300000</v>
      </c>
      <c r="F28" s="19"/>
      <c r="G28" s="19">
        <f t="shared" si="1"/>
        <v>681346468</v>
      </c>
      <c r="H28" s="26">
        <f>23573058+19541758</f>
        <v>43114816</v>
      </c>
      <c r="I28" s="26">
        <f>23919826+18842126</f>
        <v>42761952</v>
      </c>
      <c r="J28" s="26">
        <v>42568729</v>
      </c>
      <c r="K28" s="26">
        <v>44895258</v>
      </c>
      <c r="L28" s="26">
        <v>45897452</v>
      </c>
      <c r="M28" s="26">
        <v>36458742</v>
      </c>
      <c r="N28" s="26">
        <v>53317492</v>
      </c>
      <c r="O28" s="26">
        <v>42578944</v>
      </c>
      <c r="P28" s="26">
        <v>42035846</v>
      </c>
      <c r="Q28" s="26">
        <v>41987546</v>
      </c>
      <c r="R28" s="26">
        <v>44785983</v>
      </c>
      <c r="S28" s="26">
        <v>114687924</v>
      </c>
      <c r="T28" s="19">
        <f t="shared" si="2"/>
        <v>595090684</v>
      </c>
    </row>
    <row r="29" spans="1:20">
      <c r="A29" s="46">
        <v>30502</v>
      </c>
      <c r="B29" s="11" t="s">
        <v>48</v>
      </c>
      <c r="C29" s="14"/>
      <c r="D29" s="14"/>
      <c r="E29" s="14"/>
      <c r="F29" s="14"/>
      <c r="G29" s="1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4"/>
    </row>
    <row r="30" spans="1:20">
      <c r="A30" s="11"/>
      <c r="B30" s="11" t="s">
        <v>49</v>
      </c>
      <c r="C30" s="16">
        <f t="shared" ref="C30:G30" si="8">SUM(C31:C36)</f>
        <v>581000000</v>
      </c>
      <c r="D30" s="16">
        <f t="shared" si="8"/>
        <v>0</v>
      </c>
      <c r="E30" s="16">
        <f t="shared" si="8"/>
        <v>0</v>
      </c>
      <c r="F30" s="16">
        <f t="shared" si="8"/>
        <v>0</v>
      </c>
      <c r="G30" s="16">
        <f t="shared" si="8"/>
        <v>581000000</v>
      </c>
      <c r="H30" s="16">
        <f t="shared" ref="H30" si="9">SUM(H31:H36)</f>
        <v>0</v>
      </c>
      <c r="I30" s="16">
        <f>SUM(I31:I36)</f>
        <v>1014361</v>
      </c>
      <c r="J30" s="16">
        <f t="shared" ref="J30:T30" si="10">SUM(J31:J36)</f>
        <v>0</v>
      </c>
      <c r="K30" s="16">
        <f t="shared" si="10"/>
        <v>0</v>
      </c>
      <c r="L30" s="16">
        <f t="shared" si="10"/>
        <v>63138478</v>
      </c>
      <c r="M30" s="16">
        <f t="shared" si="10"/>
        <v>122610000</v>
      </c>
      <c r="N30" s="16">
        <f t="shared" si="10"/>
        <v>11787760</v>
      </c>
      <c r="O30" s="16">
        <f t="shared" si="10"/>
        <v>0</v>
      </c>
      <c r="P30" s="16">
        <f t="shared" si="10"/>
        <v>0</v>
      </c>
      <c r="Q30" s="16">
        <f t="shared" si="10"/>
        <v>5387123</v>
      </c>
      <c r="R30" s="16">
        <f t="shared" si="10"/>
        <v>0</v>
      </c>
      <c r="S30" s="16">
        <f t="shared" si="10"/>
        <v>194270911</v>
      </c>
      <c r="T30" s="16">
        <f t="shared" si="10"/>
        <v>398208633</v>
      </c>
    </row>
    <row r="31" spans="1:20">
      <c r="A31" s="46">
        <v>30502180401</v>
      </c>
      <c r="B31" s="11" t="s">
        <v>50</v>
      </c>
      <c r="C31" s="19">
        <v>150000000</v>
      </c>
      <c r="D31" s="19"/>
      <c r="E31" s="19"/>
      <c r="F31" s="19"/>
      <c r="G31" s="19">
        <f t="shared" ref="G31:G47" si="11">C31+D31-E31+F31</f>
        <v>150000000</v>
      </c>
      <c r="H31" s="18"/>
      <c r="I31" s="18"/>
      <c r="J31" s="18"/>
      <c r="K31" s="18"/>
      <c r="L31" s="18"/>
      <c r="M31" s="18"/>
      <c r="N31" s="18">
        <v>9282810</v>
      </c>
      <c r="O31" s="18"/>
      <c r="P31" s="18"/>
      <c r="Q31" s="18"/>
      <c r="R31" s="18"/>
      <c r="S31" s="18"/>
      <c r="T31" s="19">
        <f t="shared" ref="T31:T47" si="12">H31+I31+J31+K31+L31+M31+N31+O31+P31+Q31+R31+S31</f>
        <v>9282810</v>
      </c>
    </row>
    <row r="32" spans="1:20">
      <c r="A32" s="46">
        <v>30502180402</v>
      </c>
      <c r="B32" s="11" t="s">
        <v>257</v>
      </c>
      <c r="C32" s="19">
        <v>260000000</v>
      </c>
      <c r="D32" s="19"/>
      <c r="E32" s="19"/>
      <c r="F32" s="19"/>
      <c r="G32" s="19">
        <f t="shared" si="11"/>
        <v>260000000</v>
      </c>
      <c r="H32" s="18"/>
      <c r="I32" s="18">
        <v>1014361</v>
      </c>
      <c r="J32" s="18"/>
      <c r="K32" s="18">
        <v>0</v>
      </c>
      <c r="L32" s="18">
        <v>63138478</v>
      </c>
      <c r="M32" s="18"/>
      <c r="N32" s="18"/>
      <c r="O32" s="18"/>
      <c r="P32" s="18"/>
      <c r="Q32" s="18"/>
      <c r="R32" s="18"/>
      <c r="S32" s="18">
        <v>194270911</v>
      </c>
      <c r="T32" s="19">
        <f>H32+I32+J32+K32+L32+M32+N32+O32+P32+Q32+R32+S32</f>
        <v>258423750</v>
      </c>
    </row>
    <row r="33" spans="1:20">
      <c r="A33" s="46">
        <v>30502180403</v>
      </c>
      <c r="B33" s="11" t="s">
        <v>52</v>
      </c>
      <c r="C33" s="19">
        <v>140000000</v>
      </c>
      <c r="D33" s="19"/>
      <c r="E33" s="19"/>
      <c r="F33" s="19"/>
      <c r="G33" s="19">
        <f t="shared" si="11"/>
        <v>140000000</v>
      </c>
      <c r="H33" s="18"/>
      <c r="I33" s="18"/>
      <c r="J33" s="18"/>
      <c r="K33" s="18"/>
      <c r="L33" s="18"/>
      <c r="M33" s="18">
        <v>122610000</v>
      </c>
      <c r="N33" s="18">
        <v>2504950</v>
      </c>
      <c r="O33" s="18"/>
      <c r="P33" s="18"/>
      <c r="Q33" s="18"/>
      <c r="R33" s="18"/>
      <c r="S33" s="18"/>
      <c r="T33" s="19">
        <f t="shared" si="12"/>
        <v>125114950</v>
      </c>
    </row>
    <row r="34" spans="1:20">
      <c r="A34" s="46">
        <v>30502180404</v>
      </c>
      <c r="B34" s="11" t="s">
        <v>53</v>
      </c>
      <c r="C34" s="19">
        <v>10000000</v>
      </c>
      <c r="D34" s="19"/>
      <c r="E34" s="19"/>
      <c r="F34" s="19"/>
      <c r="G34" s="19">
        <f t="shared" si="11"/>
        <v>10000000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>
        <f t="shared" si="12"/>
        <v>0</v>
      </c>
    </row>
    <row r="35" spans="1:20">
      <c r="A35" s="46">
        <v>30502180405</v>
      </c>
      <c r="B35" s="11" t="s">
        <v>54</v>
      </c>
      <c r="C35" s="19">
        <v>1000000</v>
      </c>
      <c r="D35" s="19"/>
      <c r="E35" s="19"/>
      <c r="F35" s="19"/>
      <c r="G35" s="19">
        <f t="shared" si="11"/>
        <v>1000000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>
        <f t="shared" si="12"/>
        <v>0</v>
      </c>
    </row>
    <row r="36" spans="1:20">
      <c r="A36" s="46">
        <v>30502180406</v>
      </c>
      <c r="B36" s="11" t="s">
        <v>55</v>
      </c>
      <c r="C36" s="19">
        <v>20000000</v>
      </c>
      <c r="D36" s="19"/>
      <c r="E36" s="19"/>
      <c r="F36" s="19"/>
      <c r="G36" s="19">
        <f t="shared" si="11"/>
        <v>20000000</v>
      </c>
      <c r="H36" s="18"/>
      <c r="I36" s="18"/>
      <c r="J36" s="18"/>
      <c r="K36" s="18"/>
      <c r="L36" s="18"/>
      <c r="M36" s="18"/>
      <c r="N36" s="18"/>
      <c r="O36" s="18"/>
      <c r="P36" s="18"/>
      <c r="Q36" s="18">
        <v>5387123</v>
      </c>
      <c r="R36" s="18"/>
      <c r="S36" s="18"/>
      <c r="T36" s="19">
        <f t="shared" si="12"/>
        <v>5387123</v>
      </c>
    </row>
    <row r="37" spans="1:20">
      <c r="A37" s="11"/>
      <c r="B37" s="11" t="s">
        <v>56</v>
      </c>
      <c r="C37" s="16">
        <f t="shared" ref="C37:T37" si="13">SUM(C38:C47)</f>
        <v>679042533</v>
      </c>
      <c r="D37" s="16">
        <f t="shared" si="13"/>
        <v>7600000</v>
      </c>
      <c r="E37" s="16">
        <f t="shared" si="13"/>
        <v>20000000</v>
      </c>
      <c r="F37" s="16">
        <f t="shared" si="13"/>
        <v>0</v>
      </c>
      <c r="G37" s="16">
        <f t="shared" si="13"/>
        <v>666642533</v>
      </c>
      <c r="H37" s="16">
        <f t="shared" si="13"/>
        <v>16256046</v>
      </c>
      <c r="I37" s="16">
        <f t="shared" si="13"/>
        <v>130445450</v>
      </c>
      <c r="J37" s="16">
        <f t="shared" si="13"/>
        <v>17734299</v>
      </c>
      <c r="K37" s="16">
        <f t="shared" si="13"/>
        <v>22511419</v>
      </c>
      <c r="L37" s="16">
        <f t="shared" si="13"/>
        <v>13216804</v>
      </c>
      <c r="M37" s="16">
        <f t="shared" si="13"/>
        <v>15628340</v>
      </c>
      <c r="N37" s="16">
        <f t="shared" si="13"/>
        <v>20941317</v>
      </c>
      <c r="O37" s="16">
        <f t="shared" si="13"/>
        <v>18800721</v>
      </c>
      <c r="P37" s="16">
        <f t="shared" si="13"/>
        <v>12415801</v>
      </c>
      <c r="Q37" s="16">
        <f t="shared" si="13"/>
        <v>22208246</v>
      </c>
      <c r="R37" s="16">
        <f t="shared" si="13"/>
        <v>56611906</v>
      </c>
      <c r="S37" s="16">
        <f t="shared" si="13"/>
        <v>20079429</v>
      </c>
      <c r="T37" s="16">
        <f t="shared" si="13"/>
        <v>366849778</v>
      </c>
    </row>
    <row r="38" spans="1:20">
      <c r="A38" s="46">
        <v>30502180407</v>
      </c>
      <c r="B38" s="11" t="s">
        <v>57</v>
      </c>
      <c r="C38" s="20">
        <v>69000000</v>
      </c>
      <c r="D38" s="20"/>
      <c r="E38" s="20"/>
      <c r="F38" s="19"/>
      <c r="G38" s="19">
        <f t="shared" si="11"/>
        <v>69000000</v>
      </c>
      <c r="H38" s="18">
        <v>602136</v>
      </c>
      <c r="I38" s="18">
        <v>618189</v>
      </c>
      <c r="J38" s="18">
        <v>617690</v>
      </c>
      <c r="K38" s="18">
        <v>617511</v>
      </c>
      <c r="L38" s="18">
        <v>617654</v>
      </c>
      <c r="M38" s="18">
        <v>497691</v>
      </c>
      <c r="N38" s="18">
        <v>617297</v>
      </c>
      <c r="O38" s="18">
        <v>617475</v>
      </c>
      <c r="P38" s="18">
        <v>617190</v>
      </c>
      <c r="Q38" s="18">
        <v>617440</v>
      </c>
      <c r="R38" s="18">
        <v>617690</v>
      </c>
      <c r="S38" s="18">
        <v>642525</v>
      </c>
      <c r="T38" s="19">
        <f t="shared" si="12"/>
        <v>7300488</v>
      </c>
    </row>
    <row r="39" spans="1:20">
      <c r="A39" s="46">
        <v>30502180408</v>
      </c>
      <c r="B39" s="11" t="s">
        <v>260</v>
      </c>
      <c r="C39" s="20">
        <v>150000000</v>
      </c>
      <c r="D39" s="20"/>
      <c r="E39" s="20"/>
      <c r="F39" s="19"/>
      <c r="G39" s="19">
        <f t="shared" si="11"/>
        <v>150000000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>20650070</f>
        <v>20650070</v>
      </c>
      <c r="S39" s="18"/>
      <c r="T39" s="19">
        <f t="shared" si="12"/>
        <v>20650070</v>
      </c>
    </row>
    <row r="40" spans="1:20">
      <c r="A40" s="46">
        <v>30502180409</v>
      </c>
      <c r="B40" s="11" t="s">
        <v>59</v>
      </c>
      <c r="C40" s="20">
        <v>46000000</v>
      </c>
      <c r="D40" s="20">
        <v>4500000</v>
      </c>
      <c r="E40" s="20"/>
      <c r="F40" s="19"/>
      <c r="G40" s="19">
        <f t="shared" si="11"/>
        <v>50500000</v>
      </c>
      <c r="H40" s="18"/>
      <c r="I40" s="18">
        <v>20056482</v>
      </c>
      <c r="J40" s="18"/>
      <c r="K40" s="18"/>
      <c r="L40" s="18"/>
      <c r="M40" s="18"/>
      <c r="N40" s="18"/>
      <c r="O40" s="18">
        <v>7343771</v>
      </c>
      <c r="P40" s="18"/>
      <c r="Q40" s="18"/>
      <c r="R40" s="18">
        <v>22991147</v>
      </c>
      <c r="S40" s="18"/>
      <c r="T40" s="19">
        <f t="shared" si="12"/>
        <v>50391400</v>
      </c>
    </row>
    <row r="41" spans="1:20">
      <c r="A41" s="46">
        <v>30502180410</v>
      </c>
      <c r="B41" s="11" t="s">
        <v>60</v>
      </c>
      <c r="C41" s="20">
        <v>170268033</v>
      </c>
      <c r="D41" s="20"/>
      <c r="E41" s="20">
        <v>20000000</v>
      </c>
      <c r="F41" s="19"/>
      <c r="G41" s="19">
        <f t="shared" si="11"/>
        <v>150268033</v>
      </c>
      <c r="H41" s="18">
        <v>15653910</v>
      </c>
      <c r="I41" s="18">
        <v>10996279</v>
      </c>
      <c r="J41" s="18">
        <v>14442889</v>
      </c>
      <c r="K41" s="18">
        <v>11355963</v>
      </c>
      <c r="L41" s="18">
        <v>10856336</v>
      </c>
      <c r="M41" s="18">
        <v>11913436</v>
      </c>
      <c r="N41" s="18">
        <v>11112416</v>
      </c>
      <c r="O41" s="18">
        <v>10303025</v>
      </c>
      <c r="P41" s="18">
        <v>11798611</v>
      </c>
      <c r="Q41" s="18">
        <v>11947994</v>
      </c>
      <c r="R41" s="18">
        <v>11318602</v>
      </c>
      <c r="S41" s="18">
        <v>11250057</v>
      </c>
      <c r="T41" s="19">
        <f t="shared" si="12"/>
        <v>142949518</v>
      </c>
    </row>
    <row r="42" spans="1:20">
      <c r="A42" s="46">
        <v>30502180411</v>
      </c>
      <c r="B42" s="11" t="s">
        <v>61</v>
      </c>
      <c r="C42" s="20">
        <v>30000000</v>
      </c>
      <c r="D42" s="20"/>
      <c r="E42" s="20"/>
      <c r="F42" s="19"/>
      <c r="G42" s="19">
        <f t="shared" si="11"/>
        <v>30000000</v>
      </c>
      <c r="H42" s="18"/>
      <c r="I42" s="18"/>
      <c r="J42" s="18">
        <v>2673720</v>
      </c>
      <c r="K42" s="18">
        <v>537945</v>
      </c>
      <c r="L42" s="18">
        <v>1742814</v>
      </c>
      <c r="M42" s="18">
        <v>3217213</v>
      </c>
      <c r="N42" s="18">
        <v>3811604</v>
      </c>
      <c r="O42" s="18">
        <v>536450</v>
      </c>
      <c r="P42" s="18"/>
      <c r="Q42" s="18">
        <v>3877912</v>
      </c>
      <c r="R42" s="18">
        <v>1034397</v>
      </c>
      <c r="S42" s="18">
        <v>703930</v>
      </c>
      <c r="T42" s="19">
        <f t="shared" si="12"/>
        <v>18135985</v>
      </c>
    </row>
    <row r="43" spans="1:20">
      <c r="A43" s="46">
        <v>30502180412</v>
      </c>
      <c r="B43" s="11" t="s">
        <v>62</v>
      </c>
      <c r="C43" s="20">
        <v>104774500</v>
      </c>
      <c r="D43" s="20">
        <v>3000000</v>
      </c>
      <c r="E43" s="20"/>
      <c r="F43" s="19"/>
      <c r="G43" s="19">
        <f t="shared" si="11"/>
        <v>107774500</v>
      </c>
      <c r="H43" s="18"/>
      <c r="I43" s="18">
        <v>98774500</v>
      </c>
      <c r="J43" s="18"/>
      <c r="K43" s="18"/>
      <c r="L43" s="18"/>
      <c r="M43" s="18"/>
      <c r="N43" s="18"/>
      <c r="O43" s="18"/>
      <c r="P43" s="18"/>
      <c r="Q43" s="18"/>
      <c r="R43" s="18"/>
      <c r="S43" s="18">
        <v>7482917</v>
      </c>
      <c r="T43" s="19">
        <f t="shared" si="12"/>
        <v>106257417</v>
      </c>
    </row>
    <row r="44" spans="1:20">
      <c r="A44" s="46">
        <v>30502180413</v>
      </c>
      <c r="B44" s="11" t="s">
        <v>63</v>
      </c>
      <c r="C44" s="20">
        <v>18000000</v>
      </c>
      <c r="D44" s="20"/>
      <c r="E44" s="20"/>
      <c r="F44" s="19"/>
      <c r="G44" s="19">
        <f t="shared" si="11"/>
        <v>18000000</v>
      </c>
      <c r="H44" s="18"/>
      <c r="I44" s="18"/>
      <c r="J44" s="18"/>
      <c r="K44" s="18">
        <v>10000000</v>
      </c>
      <c r="L44" s="18">
        <v>0</v>
      </c>
      <c r="M44" s="18"/>
      <c r="N44" s="18"/>
      <c r="O44" s="18"/>
      <c r="P44" s="18"/>
      <c r="Q44" s="18"/>
      <c r="R44" s="18"/>
      <c r="S44" s="18"/>
      <c r="T44" s="19">
        <f t="shared" si="12"/>
        <v>10000000</v>
      </c>
    </row>
    <row r="45" spans="1:20">
      <c r="A45" s="46">
        <v>30502180414</v>
      </c>
      <c r="B45" s="11" t="s">
        <v>64</v>
      </c>
      <c r="C45" s="20">
        <v>40000000</v>
      </c>
      <c r="D45" s="20"/>
      <c r="E45" s="20"/>
      <c r="F45" s="19"/>
      <c r="G45" s="19">
        <f t="shared" si="11"/>
        <v>40000000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>
        <f t="shared" si="12"/>
        <v>0</v>
      </c>
    </row>
    <row r="46" spans="1:20">
      <c r="A46" s="46">
        <v>30502180415</v>
      </c>
      <c r="B46" s="14" t="s">
        <v>86</v>
      </c>
      <c r="C46" s="20">
        <v>50000000</v>
      </c>
      <c r="D46" s="20"/>
      <c r="E46" s="20"/>
      <c r="F46" s="19"/>
      <c r="G46" s="19">
        <f t="shared" si="11"/>
        <v>50000000</v>
      </c>
      <c r="H46" s="18"/>
      <c r="I46" s="18"/>
      <c r="J46" s="18"/>
      <c r="K46" s="18"/>
      <c r="L46" s="18"/>
      <c r="M46" s="18"/>
      <c r="N46" s="18">
        <v>5400000</v>
      </c>
      <c r="O46" s="18"/>
      <c r="P46" s="18"/>
      <c r="Q46" s="18">
        <v>4740000</v>
      </c>
      <c r="R46" s="18"/>
      <c r="S46" s="18"/>
      <c r="T46" s="19">
        <f t="shared" si="12"/>
        <v>10140000</v>
      </c>
    </row>
    <row r="47" spans="1:20">
      <c r="A47" s="46">
        <v>30502180416</v>
      </c>
      <c r="B47" s="11" t="s">
        <v>65</v>
      </c>
      <c r="C47" s="20">
        <v>1000000</v>
      </c>
      <c r="D47" s="20">
        <v>100000</v>
      </c>
      <c r="E47" s="20"/>
      <c r="F47" s="19"/>
      <c r="G47" s="19">
        <f t="shared" si="11"/>
        <v>1100000</v>
      </c>
      <c r="H47" s="18"/>
      <c r="I47" s="18"/>
      <c r="J47" s="18"/>
      <c r="K47" s="18"/>
      <c r="L47" s="18"/>
      <c r="M47" s="18"/>
      <c r="N47" s="18"/>
      <c r="O47" s="18"/>
      <c r="P47" s="18"/>
      <c r="Q47" s="18">
        <v>1024900</v>
      </c>
      <c r="R47" s="18"/>
      <c r="S47" s="18"/>
      <c r="T47" s="19">
        <f t="shared" si="12"/>
        <v>1024900</v>
      </c>
    </row>
    <row r="48" spans="1:20">
      <c r="A48" s="11"/>
      <c r="B48" s="11" t="s">
        <v>66</v>
      </c>
      <c r="C48" s="20"/>
      <c r="D48" s="20"/>
      <c r="E48" s="20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>
      <c r="A49" s="11"/>
      <c r="B49" s="11" t="s">
        <v>67</v>
      </c>
      <c r="C49" s="16">
        <f t="shared" ref="C49:G49" si="14">SUM(C50:C53)</f>
        <v>723000000</v>
      </c>
      <c r="D49" s="16">
        <f t="shared" si="14"/>
        <v>0</v>
      </c>
      <c r="E49" s="16">
        <f t="shared" si="14"/>
        <v>0</v>
      </c>
      <c r="F49" s="16">
        <f t="shared" si="14"/>
        <v>0</v>
      </c>
      <c r="G49" s="16">
        <f t="shared" si="14"/>
        <v>723000000</v>
      </c>
      <c r="H49" s="16">
        <f>SUM(H50:H53)</f>
        <v>31153460</v>
      </c>
      <c r="I49" s="16">
        <f t="shared" ref="I49:T49" si="15">SUM(I50:I53)</f>
        <v>143513572</v>
      </c>
      <c r="J49" s="16">
        <f t="shared" si="15"/>
        <v>78809745</v>
      </c>
      <c r="K49" s="16">
        <f t="shared" si="15"/>
        <v>17702972</v>
      </c>
      <c r="L49" s="16">
        <f t="shared" si="15"/>
        <v>72986407</v>
      </c>
      <c r="M49" s="16">
        <f t="shared" si="15"/>
        <v>35134282</v>
      </c>
      <c r="N49" s="16">
        <f t="shared" si="15"/>
        <v>22058266</v>
      </c>
      <c r="O49" s="16">
        <f t="shared" si="15"/>
        <v>5504998</v>
      </c>
      <c r="P49" s="16">
        <f t="shared" si="15"/>
        <v>5504998</v>
      </c>
      <c r="Q49" s="16">
        <f t="shared" si="15"/>
        <v>25504998</v>
      </c>
      <c r="R49" s="16">
        <f t="shared" si="15"/>
        <v>5504998</v>
      </c>
      <c r="S49" s="16">
        <f t="shared" si="15"/>
        <v>28055957</v>
      </c>
      <c r="T49" s="16">
        <f t="shared" si="15"/>
        <v>471434653</v>
      </c>
    </row>
    <row r="50" spans="1:20">
      <c r="A50" s="46">
        <v>30503180401</v>
      </c>
      <c r="B50" s="11" t="s">
        <v>68</v>
      </c>
      <c r="C50" s="20">
        <v>100000000</v>
      </c>
      <c r="D50" s="20"/>
      <c r="E50" s="20"/>
      <c r="F50" s="19"/>
      <c r="G50" s="19">
        <f t="shared" ref="G50:G57" si="16">C50+D50-E50+F50</f>
        <v>100000000</v>
      </c>
      <c r="H50" s="18">
        <v>5504998</v>
      </c>
      <c r="I50" s="18">
        <v>5504998</v>
      </c>
      <c r="J50" s="18">
        <v>9029595</v>
      </c>
      <c r="K50" s="18">
        <v>6242715</v>
      </c>
      <c r="L50" s="18">
        <v>5504998</v>
      </c>
      <c r="M50" s="18">
        <v>11009996</v>
      </c>
      <c r="N50" s="18">
        <v>5504998</v>
      </c>
      <c r="O50" s="18">
        <v>5504998</v>
      </c>
      <c r="P50" s="18">
        <v>5504998</v>
      </c>
      <c r="Q50" s="18">
        <v>5504998</v>
      </c>
      <c r="R50" s="18">
        <v>5504998</v>
      </c>
      <c r="S50" s="18">
        <v>11009996</v>
      </c>
      <c r="T50" s="19">
        <f t="shared" ref="T50:T57" si="17">H50+I50+J50+K50+L50+M50+N50+O50+P50+Q50+R50+S50</f>
        <v>81332286</v>
      </c>
    </row>
    <row r="51" spans="1:20">
      <c r="A51" s="46">
        <v>30503180402</v>
      </c>
      <c r="B51" s="11" t="s">
        <v>69</v>
      </c>
      <c r="C51" s="20">
        <v>1000000</v>
      </c>
      <c r="D51" s="20"/>
      <c r="E51" s="20"/>
      <c r="F51" s="19"/>
      <c r="G51" s="19">
        <f t="shared" si="16"/>
        <v>1000000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>
        <f t="shared" si="17"/>
        <v>0</v>
      </c>
    </row>
    <row r="52" spans="1:20">
      <c r="A52" s="46">
        <v>30503180403</v>
      </c>
      <c r="B52" s="11" t="s">
        <v>70</v>
      </c>
      <c r="C52" s="20">
        <v>600000000</v>
      </c>
      <c r="D52" s="20"/>
      <c r="E52" s="20"/>
      <c r="F52" s="19"/>
      <c r="G52" s="19">
        <f t="shared" si="16"/>
        <v>600000000</v>
      </c>
      <c r="H52" s="18">
        <v>5000000</v>
      </c>
      <c r="I52" s="18">
        <v>138008574</v>
      </c>
      <c r="J52" s="18">
        <v>69780150</v>
      </c>
      <c r="K52" s="18">
        <v>11460257</v>
      </c>
      <c r="L52" s="18">
        <v>67481409</v>
      </c>
      <c r="M52" s="18">
        <v>24124286</v>
      </c>
      <c r="N52" s="18">
        <v>16449530</v>
      </c>
      <c r="O52" s="18"/>
      <c r="P52" s="18"/>
      <c r="Q52" s="18">
        <v>20000000</v>
      </c>
      <c r="R52" s="18"/>
      <c r="S52" s="18">
        <v>17045961</v>
      </c>
      <c r="T52" s="19">
        <f t="shared" si="17"/>
        <v>369350167</v>
      </c>
    </row>
    <row r="53" spans="1:20">
      <c r="A53" s="46">
        <v>30503180404</v>
      </c>
      <c r="B53" s="11" t="s">
        <v>71</v>
      </c>
      <c r="C53" s="20">
        <v>22000000</v>
      </c>
      <c r="D53" s="20"/>
      <c r="E53" s="20"/>
      <c r="F53" s="19"/>
      <c r="G53" s="19">
        <f t="shared" si="16"/>
        <v>22000000</v>
      </c>
      <c r="H53" s="18">
        <v>20648462</v>
      </c>
      <c r="I53" s="18"/>
      <c r="J53" s="18"/>
      <c r="K53" s="18"/>
      <c r="L53" s="18"/>
      <c r="M53" s="18"/>
      <c r="N53" s="18">
        <v>103738</v>
      </c>
      <c r="O53" s="18"/>
      <c r="P53" s="18"/>
      <c r="Q53" s="18"/>
      <c r="R53" s="18"/>
      <c r="S53" s="18"/>
      <c r="T53" s="19">
        <f t="shared" si="17"/>
        <v>20752200</v>
      </c>
    </row>
    <row r="54" spans="1:20">
      <c r="A54" s="11"/>
      <c r="B54" s="11" t="s">
        <v>72</v>
      </c>
      <c r="C54" s="20">
        <f>SUM(C55:C57)</f>
        <v>275000000</v>
      </c>
      <c r="D54" s="20"/>
      <c r="E54" s="20"/>
      <c r="F54" s="20">
        <f t="shared" ref="F54:T54" si="18">SUM(F55:F57)</f>
        <v>0</v>
      </c>
      <c r="G54" s="19">
        <f t="shared" si="16"/>
        <v>275000000</v>
      </c>
      <c r="H54" s="27">
        <f t="shared" si="18"/>
        <v>1527860</v>
      </c>
      <c r="I54" s="27">
        <f t="shared" si="18"/>
        <v>1235232</v>
      </c>
      <c r="J54" s="27">
        <f t="shared" si="18"/>
        <v>4730796</v>
      </c>
      <c r="K54" s="27">
        <f t="shared" si="18"/>
        <v>34036587</v>
      </c>
      <c r="L54" s="27">
        <f t="shared" si="18"/>
        <v>9121334</v>
      </c>
      <c r="M54" s="27">
        <f t="shared" si="18"/>
        <v>17815247</v>
      </c>
      <c r="N54" s="27">
        <f t="shared" si="18"/>
        <v>634571</v>
      </c>
      <c r="O54" s="27">
        <f t="shared" si="18"/>
        <v>45628965</v>
      </c>
      <c r="P54" s="27">
        <f t="shared" si="18"/>
        <v>8384557</v>
      </c>
      <c r="Q54" s="27">
        <f t="shared" si="18"/>
        <v>3482292</v>
      </c>
      <c r="R54" s="27">
        <f t="shared" si="18"/>
        <v>14300000</v>
      </c>
      <c r="S54" s="27">
        <f t="shared" si="18"/>
        <v>9608698</v>
      </c>
      <c r="T54" s="27">
        <f t="shared" si="18"/>
        <v>150506139</v>
      </c>
    </row>
    <row r="55" spans="1:20">
      <c r="A55" s="46">
        <v>30503180405</v>
      </c>
      <c r="B55" s="11" t="s">
        <v>73</v>
      </c>
      <c r="C55" s="20">
        <v>30000000</v>
      </c>
      <c r="D55" s="20"/>
      <c r="E55" s="20"/>
      <c r="F55" s="19"/>
      <c r="G55" s="19">
        <f t="shared" si="16"/>
        <v>30000000</v>
      </c>
      <c r="H55" s="18"/>
      <c r="I55" s="18"/>
      <c r="J55" s="18"/>
      <c r="K55" s="18"/>
      <c r="L55" s="18"/>
      <c r="M55" s="18"/>
      <c r="N55" s="18"/>
      <c r="O55" s="18">
        <v>14800000</v>
      </c>
      <c r="P55" s="18"/>
      <c r="Q55" s="18"/>
      <c r="R55" s="18"/>
      <c r="S55" s="18"/>
      <c r="T55" s="19">
        <f t="shared" si="17"/>
        <v>14800000</v>
      </c>
    </row>
    <row r="56" spans="1:20">
      <c r="A56" s="46">
        <v>30503180406</v>
      </c>
      <c r="B56" s="11" t="s">
        <v>74</v>
      </c>
      <c r="C56" s="20">
        <v>85000000</v>
      </c>
      <c r="D56" s="20"/>
      <c r="E56" s="20"/>
      <c r="F56" s="19"/>
      <c r="G56" s="19">
        <f t="shared" si="16"/>
        <v>85000000</v>
      </c>
      <c r="H56" s="18"/>
      <c r="I56" s="18"/>
      <c r="J56" s="18"/>
      <c r="K56" s="18">
        <v>0</v>
      </c>
      <c r="L56" s="18">
        <v>4380000</v>
      </c>
      <c r="M56" s="18"/>
      <c r="N56" s="18"/>
      <c r="O56" s="18">
        <v>9568327</v>
      </c>
      <c r="P56" s="18"/>
      <c r="Q56" s="18"/>
      <c r="R56" s="18"/>
      <c r="S56" s="18">
        <v>737717</v>
      </c>
      <c r="T56" s="19">
        <f t="shared" si="17"/>
        <v>14686044</v>
      </c>
    </row>
    <row r="57" spans="1:20">
      <c r="A57" s="46">
        <v>30503180407</v>
      </c>
      <c r="B57" s="11" t="s">
        <v>75</v>
      </c>
      <c r="C57" s="20">
        <v>160000000</v>
      </c>
      <c r="D57" s="20"/>
      <c r="E57" s="20"/>
      <c r="F57" s="19"/>
      <c r="G57" s="19">
        <f t="shared" si="16"/>
        <v>160000000</v>
      </c>
      <c r="H57" s="18">
        <v>1527860</v>
      </c>
      <c r="I57" s="18">
        <v>1235232</v>
      </c>
      <c r="J57" s="18">
        <v>4730796</v>
      </c>
      <c r="K57" s="18">
        <v>34036587</v>
      </c>
      <c r="L57" s="18">
        <v>4741334</v>
      </c>
      <c r="M57" s="18">
        <v>17815247</v>
      </c>
      <c r="N57" s="18">
        <v>634571</v>
      </c>
      <c r="O57" s="18">
        <v>21260638</v>
      </c>
      <c r="P57" s="18">
        <v>8384557</v>
      </c>
      <c r="Q57" s="18">
        <v>3482292</v>
      </c>
      <c r="R57" s="18">
        <v>14300000</v>
      </c>
      <c r="S57" s="18">
        <v>8870981</v>
      </c>
      <c r="T57" s="19">
        <f t="shared" si="17"/>
        <v>121020095</v>
      </c>
    </row>
    <row r="58" spans="1:20" ht="18.75">
      <c r="A58" s="11"/>
      <c r="B58" s="22" t="s">
        <v>76</v>
      </c>
      <c r="C58" s="21">
        <f>C5+C17+C22+C30+C37+C49+C54</f>
        <v>8962000000</v>
      </c>
      <c r="D58" s="21">
        <f t="shared" ref="D58:T58" si="19">D5+D17+D22+D30+D37+D49+D54</f>
        <v>278300000</v>
      </c>
      <c r="E58" s="21">
        <f t="shared" si="19"/>
        <v>278300000</v>
      </c>
      <c r="F58" s="21">
        <f t="shared" si="19"/>
        <v>0</v>
      </c>
      <c r="G58" s="21">
        <f t="shared" si="19"/>
        <v>8962000000</v>
      </c>
      <c r="H58" s="21">
        <f t="shared" si="19"/>
        <v>460727747</v>
      </c>
      <c r="I58" s="21">
        <f t="shared" si="19"/>
        <v>677525668</v>
      </c>
      <c r="J58" s="21">
        <f t="shared" si="19"/>
        <v>648390493</v>
      </c>
      <c r="K58" s="21">
        <f t="shared" si="19"/>
        <v>500857683</v>
      </c>
      <c r="L58" s="21">
        <f t="shared" si="19"/>
        <v>590434042</v>
      </c>
      <c r="M58" s="21">
        <f t="shared" si="19"/>
        <v>634767876</v>
      </c>
      <c r="N58" s="21">
        <f t="shared" si="19"/>
        <v>756950419</v>
      </c>
      <c r="O58" s="21">
        <f t="shared" si="19"/>
        <v>461597612</v>
      </c>
      <c r="P58" s="21">
        <f t="shared" si="19"/>
        <v>460579570</v>
      </c>
      <c r="Q58" s="21">
        <f t="shared" si="19"/>
        <v>408577655</v>
      </c>
      <c r="R58" s="21">
        <f t="shared" si="19"/>
        <v>459620888</v>
      </c>
      <c r="S58" s="21">
        <f t="shared" si="19"/>
        <v>831591945</v>
      </c>
      <c r="T58" s="21">
        <f t="shared" si="19"/>
        <v>6891621598</v>
      </c>
    </row>
    <row r="59" spans="1:20" ht="18.75">
      <c r="A59" s="11"/>
      <c r="B59" s="15" t="s">
        <v>11</v>
      </c>
      <c r="C59" s="19">
        <v>0</v>
      </c>
      <c r="D59" s="19"/>
      <c r="E59" s="1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46">
        <v>305061804</v>
      </c>
      <c r="B60" s="11" t="s">
        <v>77</v>
      </c>
      <c r="C60" s="19">
        <v>0</v>
      </c>
      <c r="D60" s="19"/>
      <c r="E60" s="19"/>
      <c r="F60" s="19"/>
      <c r="G60" s="19">
        <f t="shared" ref="G60:G62" si="20">C60+D60-E60+F60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>
        <f t="shared" ref="T60:T62" si="21">H60+I60+J60+K60+L60+M60+N60+O60+P60+Q60+R60+S60</f>
        <v>0</v>
      </c>
    </row>
    <row r="61" spans="1:20">
      <c r="A61" s="46">
        <v>30506180401</v>
      </c>
      <c r="B61" s="11" t="s">
        <v>78</v>
      </c>
      <c r="C61" s="19">
        <v>0</v>
      </c>
      <c r="D61" s="19"/>
      <c r="E61" s="19"/>
      <c r="F61" s="19"/>
      <c r="G61" s="19">
        <f t="shared" si="20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>
        <f t="shared" si="21"/>
        <v>0</v>
      </c>
    </row>
    <row r="62" spans="1:20">
      <c r="A62" s="46">
        <v>30506180402</v>
      </c>
      <c r="B62" s="11" t="s">
        <v>79</v>
      </c>
      <c r="C62" s="19">
        <v>0</v>
      </c>
      <c r="D62" s="19"/>
      <c r="E62" s="19"/>
      <c r="F62" s="19"/>
      <c r="G62" s="19">
        <f t="shared" si="20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>
        <f t="shared" si="21"/>
        <v>0</v>
      </c>
    </row>
    <row r="63" spans="1:20" ht="18.75">
      <c r="A63" s="11"/>
      <c r="B63" s="22" t="s">
        <v>80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8.75">
      <c r="A64" s="11"/>
      <c r="B64" s="15" t="s">
        <v>81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46">
        <v>30507180401</v>
      </c>
      <c r="B65" s="11" t="s">
        <v>82</v>
      </c>
      <c r="C65" s="4">
        <v>400000000</v>
      </c>
      <c r="D65" s="4"/>
      <c r="E65" s="4"/>
      <c r="F65" s="14"/>
      <c r="G65" s="19">
        <f t="shared" ref="G65:G69" si="22">C65+D65-E65+F65</f>
        <v>400000000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9">
        <f t="shared" ref="T65:T69" si="23">H65+I65+J65+K65+L65+M65+N65+O65+P65+Q65+R65+S65</f>
        <v>0</v>
      </c>
    </row>
    <row r="66" spans="1:20">
      <c r="A66" s="46">
        <v>30507180402</v>
      </c>
      <c r="B66" s="11" t="s">
        <v>258</v>
      </c>
      <c r="C66" s="4">
        <v>881700000</v>
      </c>
      <c r="D66" s="4"/>
      <c r="E66" s="4"/>
      <c r="F66" s="14"/>
      <c r="G66" s="19">
        <f t="shared" si="22"/>
        <v>881700000</v>
      </c>
      <c r="H66" s="4"/>
      <c r="I66" s="4"/>
      <c r="J66" s="4">
        <v>7800000</v>
      </c>
      <c r="K66" s="4">
        <v>22500000</v>
      </c>
      <c r="L66" s="4">
        <v>0</v>
      </c>
      <c r="M66" s="18">
        <v>7800000</v>
      </c>
      <c r="N66" s="18">
        <v>39139999</v>
      </c>
      <c r="O66" s="18">
        <v>85758918</v>
      </c>
      <c r="P66" s="18">
        <f>269782177</f>
        <v>269782177</v>
      </c>
      <c r="Q66" s="18">
        <v>20001000</v>
      </c>
      <c r="R66" s="18"/>
      <c r="S66" s="18"/>
      <c r="T66" s="19">
        <f t="shared" si="23"/>
        <v>452782094</v>
      </c>
    </row>
    <row r="67" spans="1:20">
      <c r="A67" s="46">
        <v>30507180403</v>
      </c>
      <c r="B67" s="11" t="s">
        <v>16</v>
      </c>
      <c r="C67" s="4">
        <v>370000000</v>
      </c>
      <c r="D67" s="4"/>
      <c r="E67" s="4"/>
      <c r="F67" s="14"/>
      <c r="G67" s="19">
        <f t="shared" si="22"/>
        <v>370000000</v>
      </c>
      <c r="H67" s="4"/>
      <c r="I67" s="4"/>
      <c r="J67" s="4"/>
      <c r="K67" s="4"/>
      <c r="L67" s="4"/>
      <c r="M67" s="18"/>
      <c r="N67" s="18"/>
      <c r="O67" s="18"/>
      <c r="P67" s="18"/>
      <c r="Q67" s="18"/>
      <c r="R67" s="18"/>
      <c r="S67" s="18"/>
      <c r="T67" s="19">
        <f t="shared" si="23"/>
        <v>0</v>
      </c>
    </row>
    <row r="68" spans="1:20">
      <c r="A68" s="46">
        <v>30507180404</v>
      </c>
      <c r="B68" s="11" t="s">
        <v>12</v>
      </c>
      <c r="C68" s="4">
        <v>1082500000</v>
      </c>
      <c r="D68" s="4"/>
      <c r="E68" s="4"/>
      <c r="F68" s="14"/>
      <c r="G68" s="19">
        <f t="shared" si="22"/>
        <v>1082500000</v>
      </c>
      <c r="H68" s="4"/>
      <c r="I68" s="4"/>
      <c r="J68" s="4"/>
      <c r="K68" s="4"/>
      <c r="L68" s="4"/>
      <c r="M68" s="18"/>
      <c r="N68" s="18">
        <v>6491450</v>
      </c>
      <c r="O68" s="18"/>
      <c r="P68" s="18">
        <v>10620750</v>
      </c>
      <c r="Q68" s="18"/>
      <c r="R68" s="18"/>
      <c r="S68" s="18"/>
      <c r="T68" s="19">
        <f t="shared" si="23"/>
        <v>17112200</v>
      </c>
    </row>
    <row r="69" spans="1:20">
      <c r="A69" s="46">
        <v>30507180405</v>
      </c>
      <c r="B69" s="11" t="s">
        <v>17</v>
      </c>
      <c r="C69" s="4">
        <v>556800000</v>
      </c>
      <c r="D69" s="4"/>
      <c r="E69" s="4"/>
      <c r="F69" s="14"/>
      <c r="G69" s="19">
        <f t="shared" si="22"/>
        <v>556800000</v>
      </c>
      <c r="H69" s="18">
        <v>673955</v>
      </c>
      <c r="I69" s="18">
        <v>4500000</v>
      </c>
      <c r="J69" s="18">
        <v>39900000</v>
      </c>
      <c r="K69" s="18">
        <v>0</v>
      </c>
      <c r="L69" s="18">
        <v>4500000</v>
      </c>
      <c r="M69" s="18">
        <v>39900000</v>
      </c>
      <c r="N69" s="18"/>
      <c r="O69" s="18">
        <v>15831450</v>
      </c>
      <c r="P69" s="18">
        <v>48706666</v>
      </c>
      <c r="Q69" s="18">
        <v>31269573</v>
      </c>
      <c r="R69" s="18">
        <v>7000000</v>
      </c>
      <c r="S69" s="18">
        <v>2450000</v>
      </c>
      <c r="T69" s="19">
        <f t="shared" si="23"/>
        <v>194731644</v>
      </c>
    </row>
    <row r="70" spans="1:20" ht="18.75">
      <c r="A70" s="11"/>
      <c r="B70" s="22" t="s">
        <v>83</v>
      </c>
      <c r="C70" s="21">
        <f>SUM(C65:C69)</f>
        <v>3291000000</v>
      </c>
      <c r="D70" s="21">
        <f t="shared" ref="D70:G70" si="24">SUM(D65:D69)</f>
        <v>0</v>
      </c>
      <c r="E70" s="21">
        <f t="shared" si="24"/>
        <v>0</v>
      </c>
      <c r="F70" s="21">
        <f t="shared" si="24"/>
        <v>0</v>
      </c>
      <c r="G70" s="21">
        <f t="shared" si="24"/>
        <v>3291000000</v>
      </c>
      <c r="H70" s="21">
        <f>SUM(H65:H69)</f>
        <v>673955</v>
      </c>
      <c r="I70" s="21">
        <f t="shared" ref="I70:T70" si="25">SUM(I65:I69)</f>
        <v>4500000</v>
      </c>
      <c r="J70" s="21">
        <f t="shared" si="25"/>
        <v>47700000</v>
      </c>
      <c r="K70" s="21">
        <f t="shared" si="25"/>
        <v>22500000</v>
      </c>
      <c r="L70" s="21">
        <f t="shared" si="25"/>
        <v>4500000</v>
      </c>
      <c r="M70" s="21">
        <f t="shared" si="25"/>
        <v>47700000</v>
      </c>
      <c r="N70" s="21">
        <f t="shared" si="25"/>
        <v>45631449</v>
      </c>
      <c r="O70" s="21">
        <f t="shared" si="25"/>
        <v>101590368</v>
      </c>
      <c r="P70" s="21">
        <f t="shared" si="25"/>
        <v>329109593</v>
      </c>
      <c r="Q70" s="21">
        <f t="shared" si="25"/>
        <v>51270573</v>
      </c>
      <c r="R70" s="21">
        <f t="shared" si="25"/>
        <v>7000000</v>
      </c>
      <c r="S70" s="21">
        <f t="shared" si="25"/>
        <v>2450000</v>
      </c>
      <c r="T70" s="21">
        <f t="shared" si="25"/>
        <v>664625938</v>
      </c>
    </row>
    <row r="71" spans="1:20" ht="22.5">
      <c r="A71" s="115" t="s">
        <v>84</v>
      </c>
      <c r="B71" s="115"/>
      <c r="C71" s="23">
        <f>C58+C63+C70</f>
        <v>12253000000</v>
      </c>
      <c r="D71" s="23">
        <f t="shared" ref="D71:T71" si="26">D58+D63+D70</f>
        <v>278300000</v>
      </c>
      <c r="E71" s="23">
        <f t="shared" si="26"/>
        <v>278300000</v>
      </c>
      <c r="F71" s="23">
        <f t="shared" si="26"/>
        <v>0</v>
      </c>
      <c r="G71" s="23">
        <f t="shared" si="26"/>
        <v>12253000000</v>
      </c>
      <c r="H71" s="23">
        <f t="shared" si="26"/>
        <v>461401702</v>
      </c>
      <c r="I71" s="23">
        <f t="shared" si="26"/>
        <v>682025668</v>
      </c>
      <c r="J71" s="23">
        <f t="shared" si="26"/>
        <v>696090493</v>
      </c>
      <c r="K71" s="23">
        <f t="shared" si="26"/>
        <v>523357683</v>
      </c>
      <c r="L71" s="23">
        <f t="shared" si="26"/>
        <v>594934042</v>
      </c>
      <c r="M71" s="23">
        <f t="shared" si="26"/>
        <v>682467876</v>
      </c>
      <c r="N71" s="23">
        <f t="shared" si="26"/>
        <v>802581868</v>
      </c>
      <c r="O71" s="23">
        <f t="shared" si="26"/>
        <v>563187980</v>
      </c>
      <c r="P71" s="23">
        <f t="shared" si="26"/>
        <v>789689163</v>
      </c>
      <c r="Q71" s="23">
        <f t="shared" si="26"/>
        <v>459848228</v>
      </c>
      <c r="R71" s="23">
        <f t="shared" si="26"/>
        <v>466620888</v>
      </c>
      <c r="S71" s="23">
        <f t="shared" si="26"/>
        <v>834041945</v>
      </c>
      <c r="T71" s="23">
        <f t="shared" si="26"/>
        <v>7556247536</v>
      </c>
    </row>
  </sheetData>
  <mergeCells count="20">
    <mergeCell ref="A71:B71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  <mergeCell ref="T1:T2"/>
    <mergeCell ref="R1:R2"/>
    <mergeCell ref="S1:S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PROY PPTO 2017</vt:lpstr>
      <vt:lpstr>PROY LIQ PPTO GASTO 2017</vt:lpstr>
      <vt:lpstr>PROY LIQ PPTO ING 2017</vt:lpstr>
      <vt:lpstr>Hoja1</vt:lpstr>
      <vt:lpstr>gastos</vt:lpstr>
      <vt:lpstr>ingresos</vt:lpstr>
      <vt:lpstr>Hoja2</vt:lpstr>
      <vt:lpstr>eje gas 2017</vt:lpstr>
      <vt:lpstr>'PROY LIQ PPTO GASTO 2017'!Área_de_impresión</vt:lpstr>
      <vt:lpstr>'PROY LIQ PPTO ING 2017'!Área_de_impresión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Joaquin Herazo</cp:lastModifiedBy>
  <cp:lastPrinted>2018-03-02T16:36:18Z</cp:lastPrinted>
  <dcterms:created xsi:type="dcterms:W3CDTF">2016-08-23T12:59:04Z</dcterms:created>
  <dcterms:modified xsi:type="dcterms:W3CDTF">2018-03-02T16:40:45Z</dcterms:modified>
</cp:coreProperties>
</file>