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 activeTab="7"/>
  </bookViews>
  <sheets>
    <sheet name="ING2012" sheetId="1" r:id="rId1"/>
    <sheet name="GASTOS 2012" sheetId="2" r:id="rId2"/>
    <sheet name="ING 2013" sheetId="3" r:id="rId3"/>
    <sheet name="GASTOS 2013" sheetId="4" r:id="rId4"/>
    <sheet name="ING2014" sheetId="5" r:id="rId5"/>
    <sheet name="GASTOS2014" sheetId="6" r:id="rId6"/>
    <sheet name="ING2015" sheetId="7" r:id="rId7"/>
    <sheet name="GASTOS 2015" sheetId="8" r:id="rId8"/>
  </sheets>
  <calcPr calcId="124519"/>
</workbook>
</file>

<file path=xl/calcChain.xml><?xml version="1.0" encoding="utf-8"?>
<calcChain xmlns="http://schemas.openxmlformats.org/spreadsheetml/2006/main">
  <c r="L59" i="7"/>
  <c r="K59"/>
  <c r="M72" i="8"/>
  <c r="L72"/>
  <c r="K72"/>
  <c r="J72"/>
  <c r="I72"/>
  <c r="H72"/>
  <c r="F72"/>
  <c r="E72"/>
  <c r="D72"/>
  <c r="C72"/>
  <c r="N71"/>
  <c r="G71"/>
  <c r="O71" s="1"/>
  <c r="N70"/>
  <c r="G70"/>
  <c r="O70" s="1"/>
  <c r="O69"/>
  <c r="N69"/>
  <c r="G69"/>
  <c r="O68"/>
  <c r="N68"/>
  <c r="G68"/>
  <c r="N67"/>
  <c r="G67"/>
  <c r="O67" s="1"/>
  <c r="N66"/>
  <c r="N72" s="1"/>
  <c r="G66"/>
  <c r="G72" s="1"/>
  <c r="O63"/>
  <c r="N63"/>
  <c r="N62"/>
  <c r="O62" s="1"/>
  <c r="N57"/>
  <c r="G57"/>
  <c r="O57" s="1"/>
  <c r="O56"/>
  <c r="N56"/>
  <c r="G56"/>
  <c r="O55"/>
  <c r="O54" s="1"/>
  <c r="N55"/>
  <c r="G55"/>
  <c r="G54" s="1"/>
  <c r="N54"/>
  <c r="M54"/>
  <c r="L54"/>
  <c r="K54"/>
  <c r="J54"/>
  <c r="I54"/>
  <c r="H54"/>
  <c r="F54"/>
  <c r="E54"/>
  <c r="D54"/>
  <c r="C54"/>
  <c r="O53"/>
  <c r="N53"/>
  <c r="G53"/>
  <c r="N52"/>
  <c r="N49" s="1"/>
  <c r="G52"/>
  <c r="O52" s="1"/>
  <c r="N51"/>
  <c r="G51"/>
  <c r="O51" s="1"/>
  <c r="O49" s="1"/>
  <c r="O50"/>
  <c r="N50"/>
  <c r="G50"/>
  <c r="M49"/>
  <c r="L49"/>
  <c r="K49"/>
  <c r="J49"/>
  <c r="I49"/>
  <c r="H49"/>
  <c r="G49"/>
  <c r="F49"/>
  <c r="E49"/>
  <c r="D49"/>
  <c r="C49"/>
  <c r="O47"/>
  <c r="N47"/>
  <c r="G47"/>
  <c r="O46"/>
  <c r="N46"/>
  <c r="G46"/>
  <c r="N45"/>
  <c r="G45"/>
  <c r="O45" s="1"/>
  <c r="N44"/>
  <c r="G44"/>
  <c r="O44" s="1"/>
  <c r="O43"/>
  <c r="N43"/>
  <c r="G43"/>
  <c r="O42"/>
  <c r="N42"/>
  <c r="G42"/>
  <c r="N41"/>
  <c r="N38" s="1"/>
  <c r="G41"/>
  <c r="O41" s="1"/>
  <c r="N40"/>
  <c r="G40"/>
  <c r="O40" s="1"/>
  <c r="O39"/>
  <c r="N39"/>
  <c r="G39"/>
  <c r="M38"/>
  <c r="L38"/>
  <c r="K38"/>
  <c r="J38"/>
  <c r="I38"/>
  <c r="H38"/>
  <c r="G38"/>
  <c r="F38"/>
  <c r="E38"/>
  <c r="D38"/>
  <c r="C38"/>
  <c r="N37"/>
  <c r="E37"/>
  <c r="G37" s="1"/>
  <c r="O36"/>
  <c r="N36"/>
  <c r="G36"/>
  <c r="O35"/>
  <c r="N35"/>
  <c r="G35"/>
  <c r="N34"/>
  <c r="N31" s="1"/>
  <c r="G34"/>
  <c r="O34" s="1"/>
  <c r="N33"/>
  <c r="G33"/>
  <c r="O33" s="1"/>
  <c r="O32"/>
  <c r="N32"/>
  <c r="G32"/>
  <c r="M31"/>
  <c r="L31"/>
  <c r="K31"/>
  <c r="J31"/>
  <c r="I31"/>
  <c r="H31"/>
  <c r="F31"/>
  <c r="D31"/>
  <c r="C31"/>
  <c r="O29"/>
  <c r="N29"/>
  <c r="G29"/>
  <c r="N28"/>
  <c r="L28"/>
  <c r="K28"/>
  <c r="G28"/>
  <c r="O28" s="1"/>
  <c r="O27"/>
  <c r="N27"/>
  <c r="G27"/>
  <c r="O26"/>
  <c r="N26"/>
  <c r="G26"/>
  <c r="N25"/>
  <c r="N24" s="1"/>
  <c r="G25"/>
  <c r="O25" s="1"/>
  <c r="O24" s="1"/>
  <c r="M24"/>
  <c r="L24"/>
  <c r="K24"/>
  <c r="J24"/>
  <c r="I24"/>
  <c r="H24"/>
  <c r="F24"/>
  <c r="E24"/>
  <c r="D24"/>
  <c r="C24"/>
  <c r="N23"/>
  <c r="N22" s="1"/>
  <c r="G23"/>
  <c r="O23" s="1"/>
  <c r="O22" s="1"/>
  <c r="M22"/>
  <c r="L22"/>
  <c r="K22"/>
  <c r="J22"/>
  <c r="I22"/>
  <c r="H22"/>
  <c r="F22"/>
  <c r="E22"/>
  <c r="D22"/>
  <c r="C22"/>
  <c r="N21"/>
  <c r="N17" s="1"/>
  <c r="G21"/>
  <c r="O21" s="1"/>
  <c r="N20"/>
  <c r="G20"/>
  <c r="O20" s="1"/>
  <c r="N19"/>
  <c r="D19"/>
  <c r="G19" s="1"/>
  <c r="O18"/>
  <c r="N18"/>
  <c r="G18"/>
  <c r="M17"/>
  <c r="L17"/>
  <c r="K17"/>
  <c r="J17"/>
  <c r="I17"/>
  <c r="H17"/>
  <c r="F17"/>
  <c r="E17"/>
  <c r="C17"/>
  <c r="O16"/>
  <c r="N16"/>
  <c r="G16"/>
  <c r="O15"/>
  <c r="N15"/>
  <c r="L15"/>
  <c r="G15"/>
  <c r="O14"/>
  <c r="N14"/>
  <c r="G14"/>
  <c r="N13"/>
  <c r="G13"/>
  <c r="O13" s="1"/>
  <c r="N12"/>
  <c r="G12"/>
  <c r="O12" s="1"/>
  <c r="O11"/>
  <c r="N11"/>
  <c r="G11"/>
  <c r="O10"/>
  <c r="N10"/>
  <c r="G10"/>
  <c r="N9"/>
  <c r="G9"/>
  <c r="O9" s="1"/>
  <c r="N8"/>
  <c r="G8"/>
  <c r="O8" s="1"/>
  <c r="O7"/>
  <c r="N7"/>
  <c r="G7"/>
  <c r="N6"/>
  <c r="N5" s="1"/>
  <c r="L6"/>
  <c r="K6"/>
  <c r="G6"/>
  <c r="G5" s="1"/>
  <c r="M5"/>
  <c r="M59" s="1"/>
  <c r="M73" s="1"/>
  <c r="L5"/>
  <c r="L59" s="1"/>
  <c r="L73" s="1"/>
  <c r="K5"/>
  <c r="K59" s="1"/>
  <c r="K73" s="1"/>
  <c r="J5"/>
  <c r="J59" s="1"/>
  <c r="J73" s="1"/>
  <c r="I5"/>
  <c r="I59" s="1"/>
  <c r="I73" s="1"/>
  <c r="H5"/>
  <c r="H59" s="1"/>
  <c r="H73" s="1"/>
  <c r="F5"/>
  <c r="F59" s="1"/>
  <c r="F73" s="1"/>
  <c r="E5"/>
  <c r="D5"/>
  <c r="C5"/>
  <c r="C59" s="1"/>
  <c r="C73" s="1"/>
  <c r="O37" l="1"/>
  <c r="G31"/>
  <c r="O19"/>
  <c r="O17" s="1"/>
  <c r="G17"/>
  <c r="O31"/>
  <c r="O38"/>
  <c r="D59"/>
  <c r="D73" s="1"/>
  <c r="N59"/>
  <c r="N73" s="1"/>
  <c r="O6"/>
  <c r="O5" s="1"/>
  <c r="G22"/>
  <c r="G24"/>
  <c r="G59" s="1"/>
  <c r="G73" s="1"/>
  <c r="E31"/>
  <c r="E59" s="1"/>
  <c r="E73" s="1"/>
  <c r="O66"/>
  <c r="O72" s="1"/>
  <c r="D17"/>
  <c r="O59" l="1"/>
  <c r="O73" s="1"/>
  <c r="C60" i="7" l="1"/>
  <c r="G59"/>
  <c r="E59"/>
  <c r="D59"/>
  <c r="C59"/>
  <c r="L58"/>
  <c r="E58"/>
  <c r="L57"/>
  <c r="E57"/>
  <c r="F56"/>
  <c r="L56" s="1"/>
  <c r="E56"/>
  <c r="L55"/>
  <c r="E55"/>
  <c r="L54"/>
  <c r="E54"/>
  <c r="K53"/>
  <c r="I53"/>
  <c r="L53" s="1"/>
  <c r="E53"/>
  <c r="K52"/>
  <c r="J52"/>
  <c r="J59" s="1"/>
  <c r="H52"/>
  <c r="H59" s="1"/>
  <c r="F52"/>
  <c r="L52" s="1"/>
  <c r="E52"/>
  <c r="L51"/>
  <c r="E51"/>
  <c r="L50"/>
  <c r="E50"/>
  <c r="L49"/>
  <c r="E49"/>
  <c r="E47"/>
  <c r="E60" s="1"/>
  <c r="D47"/>
  <c r="D60" s="1"/>
  <c r="C47"/>
  <c r="L46"/>
  <c r="K46"/>
  <c r="E46"/>
  <c r="L45"/>
  <c r="E45"/>
  <c r="L44"/>
  <c r="E44"/>
  <c r="L43"/>
  <c r="E43"/>
  <c r="L42"/>
  <c r="E42"/>
  <c r="L41"/>
  <c r="E41"/>
  <c r="L40"/>
  <c r="E40"/>
  <c r="L39"/>
  <c r="E39"/>
  <c r="L38"/>
  <c r="E38"/>
  <c r="L37"/>
  <c r="E37"/>
  <c r="L36"/>
  <c r="H36"/>
  <c r="E36"/>
  <c r="L35"/>
  <c r="E35"/>
  <c r="L34"/>
  <c r="E34"/>
  <c r="L33"/>
  <c r="E33"/>
  <c r="L32"/>
  <c r="E32"/>
  <c r="L31"/>
  <c r="E31"/>
  <c r="L30"/>
  <c r="E30"/>
  <c r="L29"/>
  <c r="E29"/>
  <c r="L28"/>
  <c r="E28"/>
  <c r="L27"/>
  <c r="E27"/>
  <c r="H26"/>
  <c r="L26" s="1"/>
  <c r="E26"/>
  <c r="K25"/>
  <c r="J25"/>
  <c r="I25"/>
  <c r="L25" s="1"/>
  <c r="E25"/>
  <c r="K24"/>
  <c r="J24"/>
  <c r="L24" s="1"/>
  <c r="E24"/>
  <c r="L23"/>
  <c r="E23"/>
  <c r="L22"/>
  <c r="K22"/>
  <c r="J22"/>
  <c r="E22"/>
  <c r="L21"/>
  <c r="K21"/>
  <c r="E21"/>
  <c r="L20"/>
  <c r="E20"/>
  <c r="L19"/>
  <c r="J19"/>
  <c r="I19"/>
  <c r="E19"/>
  <c r="L18"/>
  <c r="E18"/>
  <c r="L17"/>
  <c r="E17"/>
  <c r="L16"/>
  <c r="H16"/>
  <c r="E16"/>
  <c r="L15"/>
  <c r="E15"/>
  <c r="L14"/>
  <c r="E14"/>
  <c r="L13"/>
  <c r="E13"/>
  <c r="L12"/>
  <c r="E12"/>
  <c r="L11"/>
  <c r="E11"/>
  <c r="H10"/>
  <c r="F10"/>
  <c r="L10" s="1"/>
  <c r="E10"/>
  <c r="K9"/>
  <c r="I9"/>
  <c r="L9" s="1"/>
  <c r="E9"/>
  <c r="J8"/>
  <c r="I8"/>
  <c r="L8" s="1"/>
  <c r="E8"/>
  <c r="L7"/>
  <c r="E7"/>
  <c r="L6"/>
  <c r="K6"/>
  <c r="K47" s="1"/>
  <c r="J6"/>
  <c r="I6"/>
  <c r="H6"/>
  <c r="H47" s="1"/>
  <c r="H60" s="1"/>
  <c r="G6"/>
  <c r="G47" s="1"/>
  <c r="G60" s="1"/>
  <c r="E6"/>
  <c r="L4"/>
  <c r="L47" s="1"/>
  <c r="L60" s="1"/>
  <c r="E4"/>
  <c r="S71" i="6"/>
  <c r="R71"/>
  <c r="Q71"/>
  <c r="P71"/>
  <c r="O71"/>
  <c r="N71"/>
  <c r="M71"/>
  <c r="L71"/>
  <c r="K71"/>
  <c r="J71"/>
  <c r="I71"/>
  <c r="F71"/>
  <c r="E71"/>
  <c r="D71"/>
  <c r="C71"/>
  <c r="T70"/>
  <c r="G70"/>
  <c r="T69"/>
  <c r="G69"/>
  <c r="T68"/>
  <c r="G68"/>
  <c r="T67"/>
  <c r="G67"/>
  <c r="G71" s="1"/>
  <c r="T66"/>
  <c r="H66"/>
  <c r="H71" s="1"/>
  <c r="G66"/>
  <c r="T65"/>
  <c r="T71" s="1"/>
  <c r="G65"/>
  <c r="T64"/>
  <c r="T62"/>
  <c r="G62"/>
  <c r="T61"/>
  <c r="G61"/>
  <c r="T60"/>
  <c r="G60"/>
  <c r="T56"/>
  <c r="G56"/>
  <c r="D56"/>
  <c r="T55"/>
  <c r="G55"/>
  <c r="T54"/>
  <c r="T53" s="1"/>
  <c r="G54"/>
  <c r="G53" s="1"/>
  <c r="S53"/>
  <c r="R53"/>
  <c r="Q53"/>
  <c r="P53"/>
  <c r="O53"/>
  <c r="N53"/>
  <c r="M53"/>
  <c r="L53"/>
  <c r="K53"/>
  <c r="J53"/>
  <c r="I53"/>
  <c r="H53"/>
  <c r="E53"/>
  <c r="D53"/>
  <c r="C53"/>
  <c r="T52"/>
  <c r="G52"/>
  <c r="R51"/>
  <c r="R48" s="1"/>
  <c r="Q51"/>
  <c r="P51"/>
  <c r="P48" s="1"/>
  <c r="O51"/>
  <c r="O48" s="1"/>
  <c r="M51"/>
  <c r="L51"/>
  <c r="G51"/>
  <c r="T50"/>
  <c r="G50"/>
  <c r="T49"/>
  <c r="G49"/>
  <c r="G48" s="1"/>
  <c r="S48"/>
  <c r="Q48"/>
  <c r="N48"/>
  <c r="M48"/>
  <c r="L48"/>
  <c r="K48"/>
  <c r="J48"/>
  <c r="I48"/>
  <c r="H48"/>
  <c r="F48"/>
  <c r="E48"/>
  <c r="D48"/>
  <c r="C48"/>
  <c r="T46"/>
  <c r="G46"/>
  <c r="T45"/>
  <c r="G45"/>
  <c r="T44"/>
  <c r="G44"/>
  <c r="T43"/>
  <c r="G43"/>
  <c r="T42"/>
  <c r="G42"/>
  <c r="T41"/>
  <c r="G41"/>
  <c r="T40"/>
  <c r="G40"/>
  <c r="D40"/>
  <c r="D37" s="1"/>
  <c r="T39"/>
  <c r="G39"/>
  <c r="T38"/>
  <c r="T37" s="1"/>
  <c r="G38"/>
  <c r="G37" s="1"/>
  <c r="S37"/>
  <c r="R37"/>
  <c r="Q37"/>
  <c r="P37"/>
  <c r="O37"/>
  <c r="N37"/>
  <c r="M37"/>
  <c r="L37"/>
  <c r="K37"/>
  <c r="J37"/>
  <c r="I37"/>
  <c r="H37"/>
  <c r="F37"/>
  <c r="E37"/>
  <c r="C37"/>
  <c r="T36"/>
  <c r="G36"/>
  <c r="T35"/>
  <c r="G35"/>
  <c r="T34"/>
  <c r="G34"/>
  <c r="T33"/>
  <c r="G33"/>
  <c r="T32"/>
  <c r="T31" s="1"/>
  <c r="G32"/>
  <c r="G31" s="1"/>
  <c r="S31"/>
  <c r="R31"/>
  <c r="Q31"/>
  <c r="P31"/>
  <c r="O31"/>
  <c r="N31"/>
  <c r="M31"/>
  <c r="L31"/>
  <c r="K31"/>
  <c r="J31"/>
  <c r="I31"/>
  <c r="H31"/>
  <c r="F31"/>
  <c r="E31"/>
  <c r="D31"/>
  <c r="C31"/>
  <c r="T29"/>
  <c r="G29"/>
  <c r="S28"/>
  <c r="R28"/>
  <c r="R24" s="1"/>
  <c r="Q28"/>
  <c r="T28" s="1"/>
  <c r="T24" s="1"/>
  <c r="G28"/>
  <c r="T27"/>
  <c r="G27"/>
  <c r="T26"/>
  <c r="G26"/>
  <c r="T25"/>
  <c r="G25"/>
  <c r="G24" s="1"/>
  <c r="S24"/>
  <c r="Q24"/>
  <c r="P24"/>
  <c r="O24"/>
  <c r="N24"/>
  <c r="M24"/>
  <c r="L24"/>
  <c r="K24"/>
  <c r="J24"/>
  <c r="I24"/>
  <c r="H24"/>
  <c r="F24"/>
  <c r="E24"/>
  <c r="D24"/>
  <c r="C24"/>
  <c r="T23"/>
  <c r="G23"/>
  <c r="G22" s="1"/>
  <c r="T22"/>
  <c r="S22"/>
  <c r="R22"/>
  <c r="Q22"/>
  <c r="P22"/>
  <c r="P58" s="1"/>
  <c r="P72" s="1"/>
  <c r="O22"/>
  <c r="N22"/>
  <c r="M22"/>
  <c r="M58" s="1"/>
  <c r="M72" s="1"/>
  <c r="L22"/>
  <c r="L58" s="1"/>
  <c r="L72" s="1"/>
  <c r="K22"/>
  <c r="J22"/>
  <c r="I22"/>
  <c r="I58" s="1"/>
  <c r="I72" s="1"/>
  <c r="H22"/>
  <c r="H58" s="1"/>
  <c r="H72" s="1"/>
  <c r="F22"/>
  <c r="E22"/>
  <c r="E58" s="1"/>
  <c r="E72" s="1"/>
  <c r="D22"/>
  <c r="C22"/>
  <c r="G21"/>
  <c r="T20"/>
  <c r="T18" s="1"/>
  <c r="S20"/>
  <c r="S18" s="1"/>
  <c r="G20"/>
  <c r="T19"/>
  <c r="G19"/>
  <c r="G18" s="1"/>
  <c r="D19"/>
  <c r="D18" s="1"/>
  <c r="R18"/>
  <c r="Q18"/>
  <c r="P18"/>
  <c r="O18"/>
  <c r="N18"/>
  <c r="M18"/>
  <c r="L18"/>
  <c r="K18"/>
  <c r="J18"/>
  <c r="I18"/>
  <c r="H18"/>
  <c r="F18"/>
  <c r="E18"/>
  <c r="C18"/>
  <c r="T17"/>
  <c r="G17"/>
  <c r="R16"/>
  <c r="Q16"/>
  <c r="T16" s="1"/>
  <c r="G16"/>
  <c r="E16"/>
  <c r="T15"/>
  <c r="G15"/>
  <c r="T14"/>
  <c r="Q14"/>
  <c r="O14"/>
  <c r="G14"/>
  <c r="T13"/>
  <c r="G13"/>
  <c r="T12"/>
  <c r="G12"/>
  <c r="T11"/>
  <c r="G11"/>
  <c r="T10"/>
  <c r="G10"/>
  <c r="T9"/>
  <c r="S9"/>
  <c r="G9"/>
  <c r="T8"/>
  <c r="G8"/>
  <c r="S7"/>
  <c r="R7"/>
  <c r="R6" s="1"/>
  <c r="R58" s="1"/>
  <c r="R72" s="1"/>
  <c r="Q7"/>
  <c r="T7" s="1"/>
  <c r="T6" s="1"/>
  <c r="G7"/>
  <c r="S6"/>
  <c r="S58" s="1"/>
  <c r="S72" s="1"/>
  <c r="P6"/>
  <c r="O6"/>
  <c r="O58" s="1"/>
  <c r="O72" s="1"/>
  <c r="N6"/>
  <c r="N58" s="1"/>
  <c r="N72" s="1"/>
  <c r="M6"/>
  <c r="L6"/>
  <c r="K6"/>
  <c r="K58" s="1"/>
  <c r="K72" s="1"/>
  <c r="J6"/>
  <c r="J58" s="1"/>
  <c r="J72" s="1"/>
  <c r="I6"/>
  <c r="H6"/>
  <c r="G6"/>
  <c r="G58" s="1"/>
  <c r="G72" s="1"/>
  <c r="F6"/>
  <c r="F58" s="1"/>
  <c r="F72" s="1"/>
  <c r="E6"/>
  <c r="D6"/>
  <c r="C6"/>
  <c r="C58" s="1"/>
  <c r="C72" s="1"/>
  <c r="M56" i="5"/>
  <c r="L56"/>
  <c r="J56"/>
  <c r="I56"/>
  <c r="H56"/>
  <c r="D56"/>
  <c r="D57" s="1"/>
  <c r="C56"/>
  <c r="C57" s="1"/>
  <c r="R55"/>
  <c r="E55"/>
  <c r="R54"/>
  <c r="E54"/>
  <c r="Q53"/>
  <c r="Q56" s="1"/>
  <c r="P53"/>
  <c r="P56" s="1"/>
  <c r="O53"/>
  <c r="O56" s="1"/>
  <c r="N53"/>
  <c r="N56" s="1"/>
  <c r="L53"/>
  <c r="K53"/>
  <c r="K56" s="1"/>
  <c r="G53"/>
  <c r="G56" s="1"/>
  <c r="F53"/>
  <c r="F56" s="1"/>
  <c r="E53"/>
  <c r="R52"/>
  <c r="E52"/>
  <c r="E56" s="1"/>
  <c r="R51"/>
  <c r="E51"/>
  <c r="N49"/>
  <c r="N57" s="1"/>
  <c r="J49"/>
  <c r="J57" s="1"/>
  <c r="D49"/>
  <c r="C49"/>
  <c r="R48"/>
  <c r="M48"/>
  <c r="E48"/>
  <c r="R47"/>
  <c r="E47"/>
  <c r="R46"/>
  <c r="E46"/>
  <c r="R45"/>
  <c r="E45"/>
  <c r="R44"/>
  <c r="E44"/>
  <c r="R43"/>
  <c r="E43"/>
  <c r="R42"/>
  <c r="E42"/>
  <c r="G41"/>
  <c r="R41" s="1"/>
  <c r="E41"/>
  <c r="R40"/>
  <c r="E40"/>
  <c r="R39"/>
  <c r="E39"/>
  <c r="R38"/>
  <c r="E38"/>
  <c r="R37"/>
  <c r="E37"/>
  <c r="R36"/>
  <c r="E36"/>
  <c r="R35"/>
  <c r="E35"/>
  <c r="R34"/>
  <c r="E34"/>
  <c r="R33"/>
  <c r="E33"/>
  <c r="R32"/>
  <c r="E32"/>
  <c r="R31"/>
  <c r="E31"/>
  <c r="R30"/>
  <c r="E30"/>
  <c r="R29"/>
  <c r="E29"/>
  <c r="R28"/>
  <c r="E28"/>
  <c r="R27"/>
  <c r="E27"/>
  <c r="R26"/>
  <c r="F26"/>
  <c r="E26"/>
  <c r="R25"/>
  <c r="E25"/>
  <c r="R24"/>
  <c r="E24"/>
  <c r="R23"/>
  <c r="E23"/>
  <c r="R22"/>
  <c r="E22"/>
  <c r="R21"/>
  <c r="P21"/>
  <c r="E21"/>
  <c r="R20"/>
  <c r="E20"/>
  <c r="G19"/>
  <c r="F19"/>
  <c r="R19" s="1"/>
  <c r="E19"/>
  <c r="R18"/>
  <c r="I18"/>
  <c r="E18"/>
  <c r="R17"/>
  <c r="E17"/>
  <c r="F16"/>
  <c r="R16" s="1"/>
  <c r="E16"/>
  <c r="R15"/>
  <c r="H15"/>
  <c r="E15"/>
  <c r="R14"/>
  <c r="E14"/>
  <c r="R13"/>
  <c r="E13"/>
  <c r="Q12"/>
  <c r="P12"/>
  <c r="O12"/>
  <c r="N12"/>
  <c r="M12"/>
  <c r="L12"/>
  <c r="G12"/>
  <c r="F12"/>
  <c r="R12" s="1"/>
  <c r="E12"/>
  <c r="I11"/>
  <c r="I49" s="1"/>
  <c r="I57" s="1"/>
  <c r="H11"/>
  <c r="G11"/>
  <c r="F11"/>
  <c r="R11" s="1"/>
  <c r="E11"/>
  <c r="Q10"/>
  <c r="P10"/>
  <c r="O10"/>
  <c r="R10" s="1"/>
  <c r="E10"/>
  <c r="H9"/>
  <c r="G9"/>
  <c r="F9"/>
  <c r="R9" s="1"/>
  <c r="E9"/>
  <c r="Q8"/>
  <c r="Q49" s="1"/>
  <c r="Q57" s="1"/>
  <c r="P8"/>
  <c r="P49" s="1"/>
  <c r="O8"/>
  <c r="O49" s="1"/>
  <c r="N8"/>
  <c r="M8"/>
  <c r="M49" s="1"/>
  <c r="M57" s="1"/>
  <c r="L8"/>
  <c r="L49" s="1"/>
  <c r="L57" s="1"/>
  <c r="K8"/>
  <c r="K49" s="1"/>
  <c r="J8"/>
  <c r="H8"/>
  <c r="H49" s="1"/>
  <c r="H57" s="1"/>
  <c r="G8"/>
  <c r="G49" s="1"/>
  <c r="G57" s="1"/>
  <c r="F8"/>
  <c r="R8" s="1"/>
  <c r="E8"/>
  <c r="R6"/>
  <c r="R49" s="1"/>
  <c r="E6"/>
  <c r="E49" s="1"/>
  <c r="E57" s="1"/>
  <c r="R71" i="4"/>
  <c r="Q71"/>
  <c r="P71"/>
  <c r="O71"/>
  <c r="N71"/>
  <c r="M71"/>
  <c r="L71"/>
  <c r="K71"/>
  <c r="J71"/>
  <c r="I71"/>
  <c r="H71"/>
  <c r="F71"/>
  <c r="E71"/>
  <c r="D71"/>
  <c r="C71"/>
  <c r="S70"/>
  <c r="T70" s="1"/>
  <c r="G70"/>
  <c r="T69"/>
  <c r="G69"/>
  <c r="T68"/>
  <c r="G68"/>
  <c r="T67"/>
  <c r="G67"/>
  <c r="T66"/>
  <c r="G66"/>
  <c r="T65"/>
  <c r="G65"/>
  <c r="G62"/>
  <c r="G61"/>
  <c r="G60"/>
  <c r="T56"/>
  <c r="G56"/>
  <c r="T55"/>
  <c r="G55"/>
  <c r="T54"/>
  <c r="G54"/>
  <c r="T53"/>
  <c r="S53"/>
  <c r="R53"/>
  <c r="Q53"/>
  <c r="P53"/>
  <c r="O53"/>
  <c r="N53"/>
  <c r="M53"/>
  <c r="L53"/>
  <c r="K53"/>
  <c r="J53"/>
  <c r="I53"/>
  <c r="H53"/>
  <c r="E53"/>
  <c r="D53"/>
  <c r="C53"/>
  <c r="T52"/>
  <c r="G52"/>
  <c r="T51"/>
  <c r="G51"/>
  <c r="T50"/>
  <c r="G50"/>
  <c r="T49"/>
  <c r="G49"/>
  <c r="S48"/>
  <c r="R48"/>
  <c r="Q48"/>
  <c r="P48"/>
  <c r="O48"/>
  <c r="N48"/>
  <c r="M48"/>
  <c r="L48"/>
  <c r="K48"/>
  <c r="J48"/>
  <c r="I48"/>
  <c r="H48"/>
  <c r="F48"/>
  <c r="E48"/>
  <c r="D48"/>
  <c r="C48"/>
  <c r="T46"/>
  <c r="G46"/>
  <c r="T45"/>
  <c r="G45"/>
  <c r="T44"/>
  <c r="G44"/>
  <c r="T43"/>
  <c r="G43"/>
  <c r="T42"/>
  <c r="G42"/>
  <c r="T41"/>
  <c r="G41"/>
  <c r="Q40"/>
  <c r="T40" s="1"/>
  <c r="G40"/>
  <c r="T39"/>
  <c r="G39"/>
  <c r="T38"/>
  <c r="G38"/>
  <c r="G37" s="1"/>
  <c r="S37"/>
  <c r="R37"/>
  <c r="Q37"/>
  <c r="P37"/>
  <c r="O37"/>
  <c r="N37"/>
  <c r="M37"/>
  <c r="L37"/>
  <c r="K37"/>
  <c r="J37"/>
  <c r="I37"/>
  <c r="H37"/>
  <c r="F37"/>
  <c r="E37"/>
  <c r="D37"/>
  <c r="C37"/>
  <c r="T36"/>
  <c r="G36"/>
  <c r="T35"/>
  <c r="G35"/>
  <c r="T34"/>
  <c r="G34"/>
  <c r="T33"/>
  <c r="G33"/>
  <c r="T32"/>
  <c r="G32"/>
  <c r="S31"/>
  <c r="R31"/>
  <c r="Q31"/>
  <c r="P31"/>
  <c r="O31"/>
  <c r="N31"/>
  <c r="M31"/>
  <c r="L31"/>
  <c r="K31"/>
  <c r="J31"/>
  <c r="I31"/>
  <c r="H31"/>
  <c r="G31"/>
  <c r="F31"/>
  <c r="E31"/>
  <c r="D31"/>
  <c r="C31"/>
  <c r="T29"/>
  <c r="G29"/>
  <c r="T28"/>
  <c r="G28"/>
  <c r="T27"/>
  <c r="G27"/>
  <c r="T26"/>
  <c r="G26"/>
  <c r="T25"/>
  <c r="G25"/>
  <c r="S24"/>
  <c r="R24"/>
  <c r="Q24"/>
  <c r="P24"/>
  <c r="O24"/>
  <c r="N24"/>
  <c r="M24"/>
  <c r="L24"/>
  <c r="K24"/>
  <c r="J24"/>
  <c r="I24"/>
  <c r="H24"/>
  <c r="F24"/>
  <c r="E24"/>
  <c r="D24"/>
  <c r="C24"/>
  <c r="T23"/>
  <c r="T22" s="1"/>
  <c r="G23"/>
  <c r="G22" s="1"/>
  <c r="S22"/>
  <c r="R22"/>
  <c r="Q22"/>
  <c r="P22"/>
  <c r="O22"/>
  <c r="N22"/>
  <c r="M22"/>
  <c r="L22"/>
  <c r="K22"/>
  <c r="J22"/>
  <c r="I22"/>
  <c r="H22"/>
  <c r="F22"/>
  <c r="E22"/>
  <c r="D22"/>
  <c r="C22"/>
  <c r="T21"/>
  <c r="G21"/>
  <c r="T20"/>
  <c r="T18" s="1"/>
  <c r="S20"/>
  <c r="S18" s="1"/>
  <c r="G20"/>
  <c r="T19"/>
  <c r="G19"/>
  <c r="G18" s="1"/>
  <c r="R18"/>
  <c r="Q18"/>
  <c r="P18"/>
  <c r="O18"/>
  <c r="N18"/>
  <c r="M18"/>
  <c r="L18"/>
  <c r="K18"/>
  <c r="J18"/>
  <c r="I18"/>
  <c r="H18"/>
  <c r="F18"/>
  <c r="E18"/>
  <c r="D18"/>
  <c r="C18"/>
  <c r="T17"/>
  <c r="G17"/>
  <c r="T16"/>
  <c r="G16"/>
  <c r="T15"/>
  <c r="G15"/>
  <c r="T14"/>
  <c r="G14"/>
  <c r="T13"/>
  <c r="G13"/>
  <c r="T12"/>
  <c r="G12"/>
  <c r="T11"/>
  <c r="G11"/>
  <c r="T10"/>
  <c r="G10"/>
  <c r="T9"/>
  <c r="G9"/>
  <c r="T8"/>
  <c r="G8"/>
  <c r="T7"/>
  <c r="G7"/>
  <c r="T6"/>
  <c r="S6"/>
  <c r="R6"/>
  <c r="Q6"/>
  <c r="Q58" s="1"/>
  <c r="Q72" s="1"/>
  <c r="P6"/>
  <c r="O6"/>
  <c r="N6"/>
  <c r="M6"/>
  <c r="M58" s="1"/>
  <c r="M72" s="1"/>
  <c r="L6"/>
  <c r="K6"/>
  <c r="J6"/>
  <c r="I6"/>
  <c r="I58" s="1"/>
  <c r="I72" s="1"/>
  <c r="H6"/>
  <c r="F6"/>
  <c r="E6"/>
  <c r="D6"/>
  <c r="D58" s="1"/>
  <c r="D72" s="1"/>
  <c r="C6"/>
  <c r="P55" i="3"/>
  <c r="O55"/>
  <c r="N55"/>
  <c r="M55"/>
  <c r="L55"/>
  <c r="K55"/>
  <c r="H55"/>
  <c r="D55"/>
  <c r="C55"/>
  <c r="R54"/>
  <c r="E54"/>
  <c r="R53"/>
  <c r="E53"/>
  <c r="Q52"/>
  <c r="Q55" s="1"/>
  <c r="J52"/>
  <c r="J55" s="1"/>
  <c r="I52"/>
  <c r="I55" s="1"/>
  <c r="H52"/>
  <c r="G52"/>
  <c r="G55" s="1"/>
  <c r="F52"/>
  <c r="F55" s="1"/>
  <c r="E52"/>
  <c r="R51"/>
  <c r="E51"/>
  <c r="E55" s="1"/>
  <c r="R50"/>
  <c r="E50"/>
  <c r="P48"/>
  <c r="P56" s="1"/>
  <c r="D48"/>
  <c r="D56" s="1"/>
  <c r="C48"/>
  <c r="C56" s="1"/>
  <c r="R47"/>
  <c r="E47"/>
  <c r="R46"/>
  <c r="M46"/>
  <c r="L46"/>
  <c r="E46"/>
  <c r="R45"/>
  <c r="E45"/>
  <c r="R44"/>
  <c r="E44"/>
  <c r="R43"/>
  <c r="E43"/>
  <c r="R42"/>
  <c r="E42"/>
  <c r="R41"/>
  <c r="E41"/>
  <c r="H40"/>
  <c r="R40" s="1"/>
  <c r="E40"/>
  <c r="R39"/>
  <c r="M39"/>
  <c r="E39"/>
  <c r="R38"/>
  <c r="E38"/>
  <c r="R37"/>
  <c r="E37"/>
  <c r="R36"/>
  <c r="E36"/>
  <c r="R35"/>
  <c r="I35"/>
  <c r="E35"/>
  <c r="R34"/>
  <c r="E34"/>
  <c r="R33"/>
  <c r="E33"/>
  <c r="R32"/>
  <c r="E32"/>
  <c r="R31"/>
  <c r="E31"/>
  <c r="R30"/>
  <c r="E30"/>
  <c r="R29"/>
  <c r="E29"/>
  <c r="R28"/>
  <c r="E28"/>
  <c r="R27"/>
  <c r="E27"/>
  <c r="R26"/>
  <c r="E26"/>
  <c r="Q25"/>
  <c r="N25"/>
  <c r="R25" s="1"/>
  <c r="M25"/>
  <c r="E25"/>
  <c r="R24"/>
  <c r="E24"/>
  <c r="M23"/>
  <c r="R23" s="1"/>
  <c r="E23"/>
  <c r="R22"/>
  <c r="E22"/>
  <c r="L21"/>
  <c r="R21" s="1"/>
  <c r="E21"/>
  <c r="P20"/>
  <c r="H20"/>
  <c r="H48" s="1"/>
  <c r="H56" s="1"/>
  <c r="F20"/>
  <c r="R20" s="1"/>
  <c r="E20"/>
  <c r="R19"/>
  <c r="E19"/>
  <c r="Q18"/>
  <c r="P18"/>
  <c r="O18"/>
  <c r="N18"/>
  <c r="M18"/>
  <c r="L18"/>
  <c r="K18"/>
  <c r="R18" s="1"/>
  <c r="E18"/>
  <c r="H17"/>
  <c r="R17" s="1"/>
  <c r="E17"/>
  <c r="R16"/>
  <c r="E16"/>
  <c r="Q15"/>
  <c r="R15" s="1"/>
  <c r="E15"/>
  <c r="R14"/>
  <c r="E14"/>
  <c r="R13"/>
  <c r="N13"/>
  <c r="E13"/>
  <c r="R12"/>
  <c r="E12"/>
  <c r="Q11"/>
  <c r="Q48" s="1"/>
  <c r="Q56" s="1"/>
  <c r="O11"/>
  <c r="N11"/>
  <c r="I11"/>
  <c r="H11"/>
  <c r="R11" s="1"/>
  <c r="E11"/>
  <c r="R10"/>
  <c r="E10"/>
  <c r="R9"/>
  <c r="E9"/>
  <c r="R8"/>
  <c r="P8"/>
  <c r="M8"/>
  <c r="K8"/>
  <c r="J8"/>
  <c r="I8"/>
  <c r="E8"/>
  <c r="O7"/>
  <c r="O48" s="1"/>
  <c r="O56" s="1"/>
  <c r="N7"/>
  <c r="N48" s="1"/>
  <c r="N56" s="1"/>
  <c r="M7"/>
  <c r="M48" s="1"/>
  <c r="M56" s="1"/>
  <c r="L7"/>
  <c r="K7"/>
  <c r="K48" s="1"/>
  <c r="K56" s="1"/>
  <c r="J7"/>
  <c r="J48" s="1"/>
  <c r="J56" s="1"/>
  <c r="I7"/>
  <c r="I48" s="1"/>
  <c r="I56" s="1"/>
  <c r="G7"/>
  <c r="G48" s="1"/>
  <c r="G56" s="1"/>
  <c r="F7"/>
  <c r="R7" s="1"/>
  <c r="E7"/>
  <c r="R5"/>
  <c r="E5"/>
  <c r="E48" s="1"/>
  <c r="E56" s="1"/>
  <c r="R70" i="2"/>
  <c r="Q70"/>
  <c r="O70"/>
  <c r="N70"/>
  <c r="L70"/>
  <c r="K70"/>
  <c r="J70"/>
  <c r="I70"/>
  <c r="H70"/>
  <c r="S69"/>
  <c r="S70" s="1"/>
  <c r="M69"/>
  <c r="M70" s="1"/>
  <c r="T68"/>
  <c r="P68"/>
  <c r="P70" s="1"/>
  <c r="T67"/>
  <c r="T63"/>
  <c r="T62"/>
  <c r="T61"/>
  <c r="T60"/>
  <c r="T56"/>
  <c r="T55"/>
  <c r="T54"/>
  <c r="S53"/>
  <c r="R53"/>
  <c r="Q53"/>
  <c r="P53"/>
  <c r="O53"/>
  <c r="N53"/>
  <c r="M53"/>
  <c r="L53"/>
  <c r="K53"/>
  <c r="J53"/>
  <c r="I53"/>
  <c r="H53"/>
  <c r="T52"/>
  <c r="T48" s="1"/>
  <c r="T51"/>
  <c r="T50"/>
  <c r="T49"/>
  <c r="S48"/>
  <c r="R48"/>
  <c r="Q48"/>
  <c r="P48"/>
  <c r="O48"/>
  <c r="N48"/>
  <c r="M48"/>
  <c r="L48"/>
  <c r="K48"/>
  <c r="J48"/>
  <c r="I48"/>
  <c r="H48"/>
  <c r="T46"/>
  <c r="T45"/>
  <c r="T44"/>
  <c r="T43"/>
  <c r="T42"/>
  <c r="T41"/>
  <c r="T40"/>
  <c r="T39"/>
  <c r="T38"/>
  <c r="T37" s="1"/>
  <c r="S37"/>
  <c r="R37"/>
  <c r="Q37"/>
  <c r="P37"/>
  <c r="O37"/>
  <c r="N37"/>
  <c r="M37"/>
  <c r="L37"/>
  <c r="K37"/>
  <c r="J37"/>
  <c r="I37"/>
  <c r="H37"/>
  <c r="T36"/>
  <c r="T35"/>
  <c r="T34"/>
  <c r="T33"/>
  <c r="T31" s="1"/>
  <c r="T32"/>
  <c r="S31"/>
  <c r="R31"/>
  <c r="Q31"/>
  <c r="P31"/>
  <c r="O31"/>
  <c r="N31"/>
  <c r="M31"/>
  <c r="L31"/>
  <c r="K31"/>
  <c r="J31"/>
  <c r="I31"/>
  <c r="H31"/>
  <c r="S29"/>
  <c r="T29" s="1"/>
  <c r="S28"/>
  <c r="T28" s="1"/>
  <c r="T27"/>
  <c r="R26"/>
  <c r="T26" s="1"/>
  <c r="S25"/>
  <c r="T25" s="1"/>
  <c r="Q24"/>
  <c r="P24"/>
  <c r="O24"/>
  <c r="N24"/>
  <c r="M24"/>
  <c r="L24"/>
  <c r="K24"/>
  <c r="J24"/>
  <c r="I24"/>
  <c r="H24"/>
  <c r="T23"/>
  <c r="T22" s="1"/>
  <c r="S22"/>
  <c r="R22"/>
  <c r="Q22"/>
  <c r="T21"/>
  <c r="T20"/>
  <c r="T19"/>
  <c r="S18"/>
  <c r="R18"/>
  <c r="Q18"/>
  <c r="P18"/>
  <c r="O18"/>
  <c r="N18"/>
  <c r="M18"/>
  <c r="L18"/>
  <c r="K18"/>
  <c r="J18"/>
  <c r="I18"/>
  <c r="H18"/>
  <c r="T17"/>
  <c r="T16"/>
  <c r="T15"/>
  <c r="T14"/>
  <c r="T13"/>
  <c r="T12"/>
  <c r="T11"/>
  <c r="T10"/>
  <c r="T9"/>
  <c r="Q8"/>
  <c r="T8" s="1"/>
  <c r="T7" s="1"/>
  <c r="S7"/>
  <c r="R7"/>
  <c r="P7"/>
  <c r="P58" s="1"/>
  <c r="O7"/>
  <c r="N7"/>
  <c r="M7"/>
  <c r="L7"/>
  <c r="L58" s="1"/>
  <c r="L71" s="1"/>
  <c r="K7"/>
  <c r="J7"/>
  <c r="I7"/>
  <c r="H7"/>
  <c r="H58" s="1"/>
  <c r="H71" s="1"/>
  <c r="M60" i="1"/>
  <c r="I60"/>
  <c r="Q59"/>
  <c r="P59"/>
  <c r="O59"/>
  <c r="N59"/>
  <c r="M59"/>
  <c r="L59"/>
  <c r="K59"/>
  <c r="J59"/>
  <c r="I59"/>
  <c r="H59"/>
  <c r="G59"/>
  <c r="F59"/>
  <c r="R58"/>
  <c r="R57"/>
  <c r="R56"/>
  <c r="R55"/>
  <c r="R59" s="1"/>
  <c r="R54"/>
  <c r="P52"/>
  <c r="P60" s="1"/>
  <c r="O52"/>
  <c r="O60" s="1"/>
  <c r="N52"/>
  <c r="N60" s="1"/>
  <c r="M52"/>
  <c r="L52"/>
  <c r="L60" s="1"/>
  <c r="K52"/>
  <c r="K60" s="1"/>
  <c r="J52"/>
  <c r="J60" s="1"/>
  <c r="I52"/>
  <c r="H52"/>
  <c r="H60" s="1"/>
  <c r="G52"/>
  <c r="G60" s="1"/>
  <c r="F52"/>
  <c r="F60" s="1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Q11"/>
  <c r="Q52" s="1"/>
  <c r="Q60" s="1"/>
  <c r="R9"/>
  <c r="K60" i="7" l="1"/>
  <c r="F47"/>
  <c r="F60" s="1"/>
  <c r="F59"/>
  <c r="J47"/>
  <c r="J60" s="1"/>
  <c r="I59"/>
  <c r="I47"/>
  <c r="I60" s="1"/>
  <c r="T58" i="6"/>
  <c r="T72" s="1"/>
  <c r="D58"/>
  <c r="D72" s="1"/>
  <c r="T51"/>
  <c r="T48" s="1"/>
  <c r="Q6"/>
  <c r="Q58" s="1"/>
  <c r="Q72" s="1"/>
  <c r="P57" i="5"/>
  <c r="K57"/>
  <c r="O57"/>
  <c r="R53"/>
  <c r="R56" s="1"/>
  <c r="R57" s="1"/>
  <c r="F49"/>
  <c r="F57" s="1"/>
  <c r="G6" i="4"/>
  <c r="G58" s="1"/>
  <c r="G72" s="1"/>
  <c r="T37"/>
  <c r="C58"/>
  <c r="C72" s="1"/>
  <c r="H58"/>
  <c r="H72" s="1"/>
  <c r="L58"/>
  <c r="L72" s="1"/>
  <c r="P58"/>
  <c r="P72" s="1"/>
  <c r="T24"/>
  <c r="F58"/>
  <c r="F72" s="1"/>
  <c r="K58"/>
  <c r="K72" s="1"/>
  <c r="O58"/>
  <c r="O72" s="1"/>
  <c r="S58"/>
  <c r="G24"/>
  <c r="T31"/>
  <c r="T58" s="1"/>
  <c r="T72" s="1"/>
  <c r="T48"/>
  <c r="G71"/>
  <c r="E58"/>
  <c r="E72" s="1"/>
  <c r="J58"/>
  <c r="J72" s="1"/>
  <c r="N58"/>
  <c r="N72" s="1"/>
  <c r="R58"/>
  <c r="R72" s="1"/>
  <c r="G48"/>
  <c r="G53"/>
  <c r="T71"/>
  <c r="S71"/>
  <c r="S72" s="1"/>
  <c r="R48" i="3"/>
  <c r="L48"/>
  <c r="L56" s="1"/>
  <c r="F48"/>
  <c r="F56" s="1"/>
  <c r="R52"/>
  <c r="R55" s="1"/>
  <c r="T24" i="2"/>
  <c r="K58"/>
  <c r="K71" s="1"/>
  <c r="O58"/>
  <c r="O71" s="1"/>
  <c r="T18"/>
  <c r="T58" s="1"/>
  <c r="P71"/>
  <c r="J58"/>
  <c r="J71" s="1"/>
  <c r="N58"/>
  <c r="N71" s="1"/>
  <c r="R58"/>
  <c r="R71" s="1"/>
  <c r="S24"/>
  <c r="S58" s="1"/>
  <c r="S71" s="1"/>
  <c r="I58"/>
  <c r="I71" s="1"/>
  <c r="M58"/>
  <c r="M71" s="1"/>
  <c r="Q7"/>
  <c r="Q58" s="1"/>
  <c r="Q71" s="1"/>
  <c r="R24"/>
  <c r="T53"/>
  <c r="T69"/>
  <c r="T70" s="1"/>
  <c r="R52" i="1"/>
  <c r="R60" s="1"/>
  <c r="R11"/>
  <c r="R56" i="3" l="1"/>
  <c r="T71" i="2"/>
</calcChain>
</file>

<file path=xl/sharedStrings.xml><?xml version="1.0" encoding="utf-8"?>
<sst xmlns="http://schemas.openxmlformats.org/spreadsheetml/2006/main" count="820" uniqueCount="289">
  <si>
    <t xml:space="preserve"> INSPECCION DE TRANSITO Y TRANSPORTE DE BARRANCABERMEJA</t>
  </si>
  <si>
    <t>NIT 890.270.948-3</t>
  </si>
  <si>
    <t>PRESUPUESTO DE INGRESOS VIGENCIA 2.012</t>
  </si>
  <si>
    <t>CODIGO</t>
  </si>
  <si>
    <t>DETALLE</t>
  </si>
  <si>
    <t xml:space="preserve"> PTO 2012</t>
  </si>
  <si>
    <t>ADICION</t>
  </si>
  <si>
    <t>PRESUPUETO AJUSTADO</t>
  </si>
  <si>
    <t>RECAUDO ENERO</t>
  </si>
  <si>
    <t>RECAUDO FEBRERO</t>
  </si>
  <si>
    <t>RECAUDO              MARZO</t>
  </si>
  <si>
    <t>RECAUDO              ABRIL</t>
  </si>
  <si>
    <t>RECAUDO              MAYO</t>
  </si>
  <si>
    <t>RECAUDO             JUNIO</t>
  </si>
  <si>
    <t>RECAUDO             JULIO</t>
  </si>
  <si>
    <t>RECAUDO             AGOSTO</t>
  </si>
  <si>
    <t>RECAUDO             SEPTIEMBRE</t>
  </si>
  <si>
    <t>RECAUDO            OCTUBRE</t>
  </si>
  <si>
    <t>RECAUDO            NOVIEMBRE</t>
  </si>
  <si>
    <t>RECAUDO            DICIEMBRE</t>
  </si>
  <si>
    <t>RECAUDO DE ENERO A DICIEMBRE</t>
  </si>
  <si>
    <t>INGRESOS TRIBUTARIOS</t>
  </si>
  <si>
    <t>1.1.1</t>
  </si>
  <si>
    <t>IMP. SOBRE VEHICULOS AUTOMOTORES</t>
  </si>
  <si>
    <t>INGRESOS NO TRIBUTARIOS</t>
  </si>
  <si>
    <t>1.2.1</t>
  </si>
  <si>
    <t>MULTAS</t>
  </si>
  <si>
    <t>1.2.2</t>
  </si>
  <si>
    <t>LICENCIA DE CONDUCION</t>
  </si>
  <si>
    <t>1.2.3</t>
  </si>
  <si>
    <t>PEMISOS</t>
  </si>
  <si>
    <t>1.2.4</t>
  </si>
  <si>
    <t xml:space="preserve">FACTURACION </t>
  </si>
  <si>
    <t>1.2.5</t>
  </si>
  <si>
    <t>AVALUOS</t>
  </si>
  <si>
    <t>1.2.6</t>
  </si>
  <si>
    <t>LEVANTAMIENTO DE CROQUIS</t>
  </si>
  <si>
    <t>1.2.7</t>
  </si>
  <si>
    <t>SERVICIO DE GRUA</t>
  </si>
  <si>
    <t>1.2.8</t>
  </si>
  <si>
    <t xml:space="preserve">CHEQUEOS </t>
  </si>
  <si>
    <t>1.2.9</t>
  </si>
  <si>
    <t>MATRICULAS</t>
  </si>
  <si>
    <t>1.2.10</t>
  </si>
  <si>
    <t>PORTE Y TELEGRAMAS</t>
  </si>
  <si>
    <t>1.2.11</t>
  </si>
  <si>
    <t>PORTE DE PLACAS</t>
  </si>
  <si>
    <t>1.2.12</t>
  </si>
  <si>
    <t>TRASPASO</t>
  </si>
  <si>
    <t>1.2.13</t>
  </si>
  <si>
    <t>RADICACION DE CUENTA</t>
  </si>
  <si>
    <t>1.2.14</t>
  </si>
  <si>
    <t>CERTIFICACIONES</t>
  </si>
  <si>
    <t>1.2.15</t>
  </si>
  <si>
    <t>GARAJE Y PARQUEO</t>
  </si>
  <si>
    <t>1.2.16</t>
  </si>
  <si>
    <t>CAMBIO DE SERVICIO</t>
  </si>
  <si>
    <t>1.2.17</t>
  </si>
  <si>
    <t>EMBARGOS Y DESEMBARGOS</t>
  </si>
  <si>
    <t>1.2.18</t>
  </si>
  <si>
    <t>SERVICIO DE ALFEREZ</t>
  </si>
  <si>
    <t>1.2.19</t>
  </si>
  <si>
    <t>PIGNORACION-DESPIGNORACION</t>
  </si>
  <si>
    <t>1.2.20</t>
  </si>
  <si>
    <t>CAMBIO DE CARACTERISTICAS</t>
  </si>
  <si>
    <t>1.2.21</t>
  </si>
  <si>
    <t>DUPLICADO DE LICENCIAS</t>
  </si>
  <si>
    <t>1.2.22</t>
  </si>
  <si>
    <t>REGRABACION DE MOTOR</t>
  </si>
  <si>
    <t>1.2.23</t>
  </si>
  <si>
    <t>CAMBIO DE COLOR</t>
  </si>
  <si>
    <t>1.2.24</t>
  </si>
  <si>
    <t>PRUEBA DE ALCOHOLEMIA</t>
  </si>
  <si>
    <t>1.2.25</t>
  </si>
  <si>
    <t>DUPLICADO DE PLACAS</t>
  </si>
  <si>
    <t>1.2.26</t>
  </si>
  <si>
    <t>CAMBIO DE PLACAS</t>
  </si>
  <si>
    <t>1.2.27</t>
  </si>
  <si>
    <t>CAMBIO DE EMPRESA</t>
  </si>
  <si>
    <t>1.2.28</t>
  </si>
  <si>
    <t>CAPACIDAD TRANSPORTADORA DISP.</t>
  </si>
  <si>
    <t>1.2.29</t>
  </si>
  <si>
    <t>TARJETA DE OPERACION</t>
  </si>
  <si>
    <t>1.2.30</t>
  </si>
  <si>
    <t>EXPETICIO TECNICO</t>
  </si>
  <si>
    <t>1.2.31</t>
  </si>
  <si>
    <t>FOTOCOPIAS CERTIFICACIONES</t>
  </si>
  <si>
    <t>1.2.32</t>
  </si>
  <si>
    <t>INTERESES MORATORIOS</t>
  </si>
  <si>
    <t>1.2.33</t>
  </si>
  <si>
    <t>REFACTURACION</t>
  </si>
  <si>
    <t>1.2.34</t>
  </si>
  <si>
    <t>SIN PENDIENTE</t>
  </si>
  <si>
    <t>1.2.35</t>
  </si>
  <si>
    <t>CONVENIOS</t>
  </si>
  <si>
    <t>1.2.38</t>
  </si>
  <si>
    <t>REPOTENCIACIÓN</t>
  </si>
  <si>
    <t>1.2.39</t>
  </si>
  <si>
    <t>CANCELACION MATRICULA</t>
  </si>
  <si>
    <t>1.2.40</t>
  </si>
  <si>
    <t>DEMARCACIONES</t>
  </si>
  <si>
    <t>1.2.41</t>
  </si>
  <si>
    <t>F.U.N.</t>
  </si>
  <si>
    <t>1.2.42</t>
  </si>
  <si>
    <t>REGISTROS</t>
  </si>
  <si>
    <t>1.2.43</t>
  </si>
  <si>
    <t>OTROS INGRESOS</t>
  </si>
  <si>
    <t>TOTAL INGRESOS CORRIENTES DE LA I.T.T.B</t>
  </si>
  <si>
    <t>RECURSOS DEL CAPITAL</t>
  </si>
  <si>
    <t>RECURSOS DEL CREDITO</t>
  </si>
  <si>
    <t>RECURSOS DEL BALANCE</t>
  </si>
  <si>
    <t>RECUPERACION DE CARTERA</t>
  </si>
  <si>
    <t>RENDIMIENTO FINANCIERO</t>
  </si>
  <si>
    <t>VENTA ACTIVOS</t>
  </si>
  <si>
    <t>TOTAL INGRESOS CAPITAL DE LA I.T.T.B</t>
  </si>
  <si>
    <t>TOTAL PRESUPUESTO  2,012 DE LA I.T.T.B</t>
  </si>
  <si>
    <t>INSPECCION DE TRANSITO Y TRANSPORTE BARRANCABERMEJA</t>
  </si>
  <si>
    <t>EJECUCION PRESUPUESTO DE GASTOS VIGENCIA 2012</t>
  </si>
  <si>
    <t xml:space="preserve">CONCEPTO </t>
  </si>
  <si>
    <t>PRESUPUESTO       2012</t>
  </si>
  <si>
    <t>TRASALDOS</t>
  </si>
  <si>
    <t>PRESUPUESTO AJUSTADO</t>
  </si>
  <si>
    <t>COMPROMETIDO ENERO</t>
  </si>
  <si>
    <t>COMPROMETIDO     FEBRERO</t>
  </si>
  <si>
    <t>COMPROMETIDO  MARZO</t>
  </si>
  <si>
    <t>COMPROMETIDO  ABRIL</t>
  </si>
  <si>
    <t xml:space="preserve"> COMPROMETIDO  MAYO</t>
  </si>
  <si>
    <t>COMPROMETIDO   JUNIO</t>
  </si>
  <si>
    <t>COMPROMETIDO  JULIO</t>
  </si>
  <si>
    <t>COMPROMETIDO   AGOSTO</t>
  </si>
  <si>
    <t>COMPROMETIDO    SEPTIEMBRE</t>
  </si>
  <si>
    <t>COMPROMETIDO   OCTUBRE</t>
  </si>
  <si>
    <t>COMPROMETIDO   NOVIEMBRE</t>
  </si>
  <si>
    <t>COMPROMETIDO   DICIEMBRE</t>
  </si>
  <si>
    <t>COMPROMETIDO    ENERO-DICIEMBRE</t>
  </si>
  <si>
    <t>GASTOS DE FUNCIONAMIENTO</t>
  </si>
  <si>
    <t>CREDITOS</t>
  </si>
  <si>
    <t>C/CREDITOS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</si>
  <si>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</si>
  <si>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</si>
  <si>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</si>
  <si>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</si>
  <si>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</si>
  <si>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</si>
  <si>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</si>
  <si>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</si>
  <si>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</si>
  <si>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</si>
  <si>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</si>
  <si>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>BONIFICACION POR SERVICIOS PRESTADOS y RECREACION</t>
  </si>
  <si>
    <t>SERVICIOS PERSONALES INDIRECTOS</t>
  </si>
  <si>
    <t>REMUNERACION POR SERVICIOS TECNICOS Y PROFESIONALES</t>
  </si>
  <si>
    <t>PAGO PERSONAL TEMPORAL Y SUPERNUMERARIO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</si>
  <si>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</si>
  <si>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</si>
  <si>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</si>
  <si>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</si>
  <si>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</si>
  <si>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</si>
  <si>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</si>
  <si>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</si>
  <si>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</si>
  <si>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</si>
  <si>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</si>
  <si>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MATERIALES Y SUMINISTROS</t>
  </si>
  <si>
    <t>IMPRESOS Y PUBLICACIONES</t>
  </si>
  <si>
    <t>GASTOS IMPREVISTOS</t>
  </si>
  <si>
    <t>ESPECIES VENALES</t>
  </si>
  <si>
    <t>ADQUISICIÒN DE SERVICIOS</t>
  </si>
  <si>
    <t>COMUNICACIONES Y TRANSPORTE</t>
  </si>
  <si>
    <t>MANTENIMIENTO</t>
  </si>
  <si>
    <t>SEGUROS</t>
  </si>
  <si>
    <t>SERVICIOS PUBLICOS</t>
  </si>
  <si>
    <t>VIATICOS Y GASTOS DE VIAJE</t>
  </si>
  <si>
    <t xml:space="preserve">ARRENDAMIENTO DE BIENES E INMUEBLES </t>
  </si>
  <si>
    <t>IMPUESTOS, TASAS Y MULTAS</t>
  </si>
  <si>
    <t>GASTOS FINANCIEROS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</si>
  <si>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</si>
  <si>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</si>
  <si>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</si>
  <si>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</si>
  <si>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</si>
  <si>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</si>
  <si>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</si>
  <si>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</si>
  <si>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</si>
  <si>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</si>
  <si>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</si>
  <si>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 xml:space="preserve">TOTAL GASTOS DE FUNCIONAMIENTO </t>
  </si>
  <si>
    <t>DEUDA PUBLICA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</si>
  <si>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</si>
  <si>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</si>
  <si>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</si>
  <si>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</si>
  <si>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</si>
  <si>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030507180401-1</t>
  </si>
  <si>
    <t>DESARROLLO VIAL</t>
  </si>
  <si>
    <t>030507180401-2</t>
  </si>
  <si>
    <t>CULTURA DE LA MOVILIDAD</t>
  </si>
  <si>
    <t>030507180402-1</t>
  </si>
  <si>
    <t>MEJORAMIENTO CONTINUO</t>
  </si>
  <si>
    <t>TOTAL GASTOS DE INVERSION</t>
  </si>
  <si>
    <t>TOTAL PRESUPUESTO</t>
  </si>
  <si>
    <t>EJECUCION PRESUPUESTO INGRESOS 2013</t>
  </si>
  <si>
    <t>PROYECTO PPTO  2013</t>
  </si>
  <si>
    <t>ADICION PRESUPUETAL</t>
  </si>
  <si>
    <t>RECAUDADO ENERO</t>
  </si>
  <si>
    <t>RECAUDADO FEBRERO</t>
  </si>
  <si>
    <t>RECAUDADO MARZO</t>
  </si>
  <si>
    <t>RECAUDADO ABRIL</t>
  </si>
  <si>
    <t>RECAUDADO MAYO</t>
  </si>
  <si>
    <t>RECAUDADO JUNIO</t>
  </si>
  <si>
    <t>RECAUDADO JULIO</t>
  </si>
  <si>
    <t>RECAUDADO AGOSTO</t>
  </si>
  <si>
    <t>RECAUDADO SEPTIEMBRE</t>
  </si>
  <si>
    <t>RECAUDADO OCTUBRE</t>
  </si>
  <si>
    <t>RECAUDADO NOVIEMBRE</t>
  </si>
  <si>
    <t>RECAUDADO DICIEMBRE</t>
  </si>
  <si>
    <t>RECAUDADO ENERO-DICIEMBRE</t>
  </si>
  <si>
    <t>TOTAL  PRESUPUESTO INGRESOS 2013</t>
  </si>
  <si>
    <t>EJECUCION PRESUPUESTO DE GASTOS 2013</t>
  </si>
  <si>
    <t xml:space="preserve"> PRESUPUESTO 2013</t>
  </si>
  <si>
    <t>TRASLADOS  PPTALES</t>
  </si>
  <si>
    <t xml:space="preserve"> PRESUPUESTO AJUSTADO 2013</t>
  </si>
  <si>
    <t>COMPROMNETIDO ENERO</t>
  </si>
  <si>
    <t>COMPROMNETIDO FEBRERO</t>
  </si>
  <si>
    <t>COMPROMETIDO MARZO</t>
  </si>
  <si>
    <t>COMPROMETIDO ABRIL</t>
  </si>
  <si>
    <t>COMPROMETIDO MAYO</t>
  </si>
  <si>
    <t>COMPROMETIDO JUNIO</t>
  </si>
  <si>
    <t>COMPROMETIDO JULIO</t>
  </si>
  <si>
    <t>COMPROMETIDO AGOSTO</t>
  </si>
  <si>
    <t>COMPROMETIDO SEPTIEMBRE</t>
  </si>
  <si>
    <t>COMPROMETIDO OCTUBRE</t>
  </si>
  <si>
    <t>COMPROMETIDO NOVIEMBRE</t>
  </si>
  <si>
    <t>COMPROMETIDO DICIEMBRE</t>
  </si>
  <si>
    <t>COMPROMETIDO ENERO A DICIEMBRE</t>
  </si>
  <si>
    <t>C.CREDITOS</t>
  </si>
  <si>
    <t xml:space="preserve">BONIFICACION POR SERVICIOS PRESTADOS </t>
  </si>
  <si>
    <t>BONIFICACION POR RECREACION</t>
  </si>
  <si>
    <t>MODERNIZACION Y MANTENIMIENTO RED SEMAFORIZACION</t>
  </si>
  <si>
    <t>SEÑALIZACION PARA MOVILIDAD EFICIENTE Y SEGURA</t>
  </si>
  <si>
    <t>CULTURA DE LA MOVILIDAD SEGURA</t>
  </si>
  <si>
    <t>PLAN MAESTRO DE  MOVILIDAD Y TRANSPORTE</t>
  </si>
  <si>
    <t>SERVICIO DE TRANSPORTE PUBLICO DE CALIDAD</t>
  </si>
  <si>
    <t>FORTALECIMIENTO INSTITUCIONAL</t>
  </si>
  <si>
    <t>TOTAL PRESUPUESTO DE GASTOS 2013</t>
  </si>
  <si>
    <t>INSPECCION DE TRANSITO Y TRANSPORTE DE BARRANCABERMEJA</t>
  </si>
  <si>
    <t xml:space="preserve"> PRESUPUESTO INGRESOS VIGENCIA 2014</t>
  </si>
  <si>
    <t>PRESUPUESTO 2014</t>
  </si>
  <si>
    <t>RECAUDO      ENE-DICIEMBRE</t>
  </si>
  <si>
    <t>TOTAL PRESUPUESTO INGRESOS 2014</t>
  </si>
  <si>
    <t>PRESUPUESTO GASTOS  2014</t>
  </si>
  <si>
    <t xml:space="preserve"> PRESUPUESTO  
2014</t>
  </si>
  <si>
    <t xml:space="preserve"> PRESUPUESTO 
AJUSTADO 2014</t>
  </si>
  <si>
    <t>COMPROMETIDO ENERO - DICIEMBRE</t>
  </si>
  <si>
    <t>TOTAL PRESUPUESTO GASTOS 2014</t>
  </si>
  <si>
    <t xml:space="preserve"> PPTO 2015</t>
  </si>
  <si>
    <t>RECAUDO ENERO 2015</t>
  </si>
  <si>
    <t>RECAUDO FEBRERO 2015</t>
  </si>
  <si>
    <t>RECAUDO MARZO 2015</t>
  </si>
  <si>
    <t>RECAUDO ABRIL 2015</t>
  </si>
  <si>
    <t>RECAUDO MAYO 2015</t>
  </si>
  <si>
    <t>RECAUDO JUNIO 2015</t>
  </si>
  <si>
    <t>RECAUDO ENERO JUNIO</t>
  </si>
  <si>
    <t>PERMISOS</t>
  </si>
  <si>
    <t>2.3.1</t>
  </si>
  <si>
    <t>Recuperacion cartera  comparendos</t>
  </si>
  <si>
    <t>2.3.2</t>
  </si>
  <si>
    <t>Recuperacion cartera  itereses</t>
  </si>
  <si>
    <t>2.3.3</t>
  </si>
  <si>
    <t>Recuperacion cartera honorarios costas</t>
  </si>
  <si>
    <t>2.3.4</t>
  </si>
  <si>
    <t>Recuperacion cartera porte de placas</t>
  </si>
  <si>
    <t>2.3.5</t>
  </si>
  <si>
    <t>Recuperacion cartera Sistematizacion y Facturacion</t>
  </si>
  <si>
    <t>PPTO 2015</t>
  </si>
  <si>
    <t xml:space="preserve"> PRESUPUESTO 
AJUSTADO 2015</t>
  </si>
  <si>
    <t>COMPROMNETIDO MARZO</t>
  </si>
  <si>
    <t>COMPROMNETIDO ABRIL</t>
  </si>
  <si>
    <t>COMPROMNETIDO MAYO</t>
  </si>
  <si>
    <t>COMPROMNETIDO JUNIO</t>
  </si>
  <si>
    <t>ACUMULADO ENERO - JUNIO</t>
  </si>
  <si>
    <t>SALDO</t>
  </si>
  <si>
    <t>LEY 769 ART 160 (PROY. SEG. VIAL)</t>
  </si>
  <si>
    <t>30501180415A</t>
  </si>
  <si>
    <t>LEY 769 ART 160 (COMBUSTIBLE-EQUIPOS-DOTACION PROY SEG VIAL)</t>
  </si>
  <si>
    <t>30502180404A</t>
  </si>
  <si>
    <t>IMPUESTOS, TASAS, MULTAS Y REVISIONES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</si>
</sst>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 * #,##0.00_ ;_ * \-#,##0.00_ ;_ * &quot;-&quot;??_ ;_ @_ "/>
    <numFmt numFmtId="166" formatCode="_-* #,##0.00\ _€_-;\-* #,##0.00\ _€_-;_-* &quot;-&quot;??\ _€_-;_-@_-"/>
    <numFmt numFmtId="167" formatCode="&quot;$&quot;\ #,##0"/>
    <numFmt numFmtId="168" formatCode="_(* #,##0_);_(* \(#,##0\);_(* &quot;-&quot;??_);_(@_)"/>
    <numFmt numFmtId="169" formatCode="_ * #,##0_ ;_ * \-#,##0_ ;_ * &quot;-&quot;??_ ;_ @_ "/>
    <numFmt numFmtId="170" formatCode="_(&quot;$&quot;* #,##0_);_(&quot;$&quot;* \(#,##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u/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4" fontId="0" fillId="0" borderId="1" xfId="0" applyNumberFormat="1" applyBorder="1"/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" fontId="6" fillId="0" borderId="1" xfId="0" applyNumberFormat="1" applyFont="1" applyBorder="1"/>
    <xf numFmtId="4" fontId="6" fillId="0" borderId="0" xfId="0" applyNumberFormat="1" applyFont="1" applyBorder="1"/>
    <xf numFmtId="0" fontId="0" fillId="5" borderId="1" xfId="0" applyFill="1" applyBorder="1"/>
    <xf numFmtId="0" fontId="3" fillId="5" borderId="1" xfId="0" applyFont="1" applyFill="1" applyBorder="1" applyAlignment="1">
      <alignment horizontal="left"/>
    </xf>
    <xf numFmtId="4" fontId="7" fillId="6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11" fillId="8" borderId="1" xfId="0" applyFont="1" applyFill="1" applyBorder="1" applyAlignment="1">
      <alignment horizontal="center" vertical="center" wrapText="1"/>
    </xf>
    <xf numFmtId="164" fontId="5" fillId="8" borderId="1" xfId="1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1" applyNumberFormat="1" applyFont="1" applyBorder="1"/>
    <xf numFmtId="165" fontId="2" fillId="0" borderId="1" xfId="1" applyNumberFormat="1" applyFont="1" applyBorder="1"/>
    <xf numFmtId="4" fontId="4" fillId="0" borderId="1" xfId="0" applyNumberFormat="1" applyFont="1" applyBorder="1"/>
    <xf numFmtId="166" fontId="12" fillId="0" borderId="3" xfId="1" applyNumberFormat="1" applyFont="1" applyBorder="1"/>
    <xf numFmtId="4" fontId="13" fillId="0" borderId="1" xfId="0" applyNumberFormat="1" applyFont="1" applyBorder="1"/>
    <xf numFmtId="0" fontId="1" fillId="0" borderId="0" xfId="0" applyFont="1"/>
    <xf numFmtId="167" fontId="14" fillId="9" borderId="1" xfId="0" applyNumberFormat="1" applyFont="1" applyFill="1" applyBorder="1"/>
    <xf numFmtId="166" fontId="12" fillId="0" borderId="1" xfId="1" applyNumberFormat="1" applyFont="1" applyBorder="1"/>
    <xf numFmtId="4" fontId="13" fillId="0" borderId="0" xfId="0" applyNumberFormat="1" applyFont="1" applyFill="1" applyBorder="1"/>
    <xf numFmtId="4" fontId="13" fillId="10" borderId="1" xfId="0" applyNumberFormat="1" applyFont="1" applyFill="1" applyBorder="1"/>
    <xf numFmtId="4" fontId="13" fillId="9" borderId="1" xfId="0" applyNumberFormat="1" applyFont="1" applyFill="1" applyBorder="1"/>
    <xf numFmtId="0" fontId="13" fillId="0" borderId="1" xfId="0" applyFont="1" applyBorder="1"/>
    <xf numFmtId="0" fontId="15" fillId="0" borderId="1" xfId="0" applyFont="1" applyBorder="1"/>
    <xf numFmtId="0" fontId="8" fillId="5" borderId="1" xfId="0" applyFont="1" applyFill="1" applyBorder="1"/>
    <xf numFmtId="165" fontId="8" fillId="5" borderId="1" xfId="0" applyNumberFormat="1" applyFont="1" applyFill="1" applyBorder="1"/>
    <xf numFmtId="165" fontId="2" fillId="5" borderId="1" xfId="0" applyNumberFormat="1" applyFont="1" applyFill="1" applyBorder="1"/>
    <xf numFmtId="0" fontId="0" fillId="0" borderId="1" xfId="0" applyBorder="1"/>
    <xf numFmtId="0" fontId="1" fillId="0" borderId="1" xfId="0" applyFont="1" applyBorder="1"/>
    <xf numFmtId="0" fontId="16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165" fontId="11" fillId="5" borderId="1" xfId="0" applyNumberFormat="1" applyFont="1" applyFill="1" applyBorder="1"/>
    <xf numFmtId="4" fontId="15" fillId="0" borderId="1" xfId="0" applyNumberFormat="1" applyFont="1" applyBorder="1"/>
    <xf numFmtId="0" fontId="11" fillId="5" borderId="1" xfId="0" applyFont="1" applyFill="1" applyBorder="1"/>
    <xf numFmtId="4" fontId="6" fillId="0" borderId="1" xfId="0" applyNumberFormat="1" applyFont="1" applyFill="1" applyBorder="1"/>
    <xf numFmtId="4" fontId="18" fillId="0" borderId="1" xfId="0" applyNumberFormat="1" applyFont="1" applyBorder="1"/>
    <xf numFmtId="0" fontId="8" fillId="0" borderId="2" xfId="0" applyFont="1" applyBorder="1" applyAlignment="1">
      <alignment horizontal="left"/>
    </xf>
    <xf numFmtId="164" fontId="4" fillId="0" borderId="1" xfId="1" applyNumberFormat="1" applyFont="1" applyBorder="1" applyAlignment="1">
      <alignment horizontal="left"/>
    </xf>
    <xf numFmtId="168" fontId="19" fillId="13" borderId="3" xfId="0" applyNumberFormat="1" applyFont="1" applyFill="1" applyBorder="1"/>
    <xf numFmtId="0" fontId="3" fillId="8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12" fillId="0" borderId="1" xfId="0" applyFont="1" applyBorder="1"/>
    <xf numFmtId="165" fontId="12" fillId="0" borderId="11" xfId="1" applyNumberFormat="1" applyFont="1" applyBorder="1"/>
    <xf numFmtId="165" fontId="12" fillId="0" borderId="1" xfId="1" applyNumberFormat="1" applyFont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3" xfId="0" applyNumberFormat="1" applyFont="1" applyBorder="1"/>
    <xf numFmtId="0" fontId="4" fillId="15" borderId="1" xfId="0" applyFont="1" applyFill="1" applyBorder="1"/>
    <xf numFmtId="49" fontId="0" fillId="0" borderId="2" xfId="0" applyNumberFormat="1" applyBorder="1"/>
    <xf numFmtId="4" fontId="4" fillId="0" borderId="0" xfId="0" applyNumberFormat="1" applyFont="1" applyBorder="1"/>
    <xf numFmtId="169" fontId="8" fillId="5" borderId="11" xfId="0" applyNumberFormat="1" applyFont="1" applyFill="1" applyBorder="1"/>
    <xf numFmtId="165" fontId="8" fillId="5" borderId="11" xfId="0" applyNumberFormat="1" applyFont="1" applyFill="1" applyBorder="1"/>
    <xf numFmtId="4" fontId="5" fillId="6" borderId="11" xfId="0" applyNumberFormat="1" applyFont="1" applyFill="1" applyBorder="1"/>
    <xf numFmtId="4" fontId="5" fillId="6" borderId="12" xfId="0" applyNumberFormat="1" applyFont="1" applyFill="1" applyBorder="1"/>
    <xf numFmtId="49" fontId="0" fillId="0" borderId="12" xfId="0" applyNumberFormat="1" applyBorder="1"/>
    <xf numFmtId="0" fontId="4" fillId="16" borderId="1" xfId="0" applyFont="1" applyFill="1" applyBorder="1"/>
    <xf numFmtId="168" fontId="19" fillId="13" borderId="11" xfId="0" applyNumberFormat="1" applyFont="1" applyFill="1" applyBorder="1"/>
    <xf numFmtId="4" fontId="4" fillId="0" borderId="1" xfId="0" applyNumberFormat="1" applyFont="1" applyFill="1" applyBorder="1"/>
    <xf numFmtId="0" fontId="11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4" fontId="4" fillId="0" borderId="14" xfId="0" applyNumberFormat="1" applyFont="1" applyFill="1" applyBorder="1"/>
    <xf numFmtId="0" fontId="0" fillId="0" borderId="0" xfId="0" applyBorder="1"/>
    <xf numFmtId="0" fontId="0" fillId="0" borderId="12" xfId="0" applyBorder="1"/>
    <xf numFmtId="169" fontId="8" fillId="5" borderId="1" xfId="0" applyNumberFormat="1" applyFont="1" applyFill="1" applyBorder="1"/>
    <xf numFmtId="4" fontId="22" fillId="0" borderId="1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0" fontId="23" fillId="7" borderId="1" xfId="0" applyFont="1" applyFill="1" applyBorder="1"/>
    <xf numFmtId="0" fontId="0" fillId="0" borderId="11" xfId="0" applyBorder="1"/>
    <xf numFmtId="170" fontId="0" fillId="0" borderId="1" xfId="2" applyNumberFormat="1" applyFont="1" applyBorder="1" applyAlignment="1">
      <alignment horizontal="right"/>
    </xf>
    <xf numFmtId="170" fontId="0" fillId="0" borderId="1" xfId="2" applyNumberFormat="1" applyFont="1" applyBorder="1"/>
    <xf numFmtId="165" fontId="24" fillId="0" borderId="11" xfId="1" applyNumberFormat="1" applyFont="1" applyBorder="1"/>
    <xf numFmtId="165" fontId="24" fillId="0" borderId="1" xfId="1" applyNumberFormat="1" applyFont="1" applyBorder="1"/>
    <xf numFmtId="170" fontId="0" fillId="0" borderId="0" xfId="2" applyNumberFormat="1" applyFont="1"/>
    <xf numFmtId="0" fontId="4" fillId="12" borderId="1" xfId="0" applyFont="1" applyFill="1" applyBorder="1"/>
    <xf numFmtId="170" fontId="0" fillId="0" borderId="14" xfId="2" applyNumberFormat="1" applyFont="1" applyBorder="1"/>
    <xf numFmtId="0" fontId="0" fillId="0" borderId="14" xfId="0" applyBorder="1"/>
    <xf numFmtId="165" fontId="24" fillId="0" borderId="2" xfId="1" applyNumberFormat="1" applyFont="1" applyBorder="1"/>
    <xf numFmtId="4" fontId="5" fillId="6" borderId="13" xfId="0" applyNumberFormat="1" applyFont="1" applyFill="1" applyBorder="1"/>
    <xf numFmtId="168" fontId="19" fillId="13" borderId="1" xfId="0" applyNumberFormat="1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0" fillId="8" borderId="3" xfId="0" applyFill="1" applyBorder="1" applyAlignment="1">
      <alignment wrapText="1"/>
    </xf>
    <xf numFmtId="164" fontId="3" fillId="8" borderId="5" xfId="1" applyNumberFormat="1" applyFont="1" applyFill="1" applyBorder="1" applyAlignment="1">
      <alignment horizontal="center" vertical="center" wrapText="1"/>
    </xf>
    <xf numFmtId="164" fontId="3" fillId="8" borderId="6" xfId="1" applyNumberFormat="1" applyFont="1" applyFill="1" applyBorder="1" applyAlignment="1">
      <alignment horizontal="center" vertical="center" wrapText="1"/>
    </xf>
    <xf numFmtId="164" fontId="3" fillId="8" borderId="8" xfId="1" applyNumberFormat="1" applyFont="1" applyFill="1" applyBorder="1" applyAlignment="1">
      <alignment horizontal="center" vertical="center" wrapText="1"/>
    </xf>
    <xf numFmtId="164" fontId="3" fillId="8" borderId="9" xfId="1" applyNumberFormat="1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3" fillId="7" borderId="1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opLeftCell="C1" workbookViewId="0">
      <selection sqref="A1:R61"/>
    </sheetView>
  </sheetViews>
  <sheetFormatPr baseColWidth="10" defaultRowHeight="15"/>
  <cols>
    <col min="2" max="2" width="34.85546875" customWidth="1"/>
    <col min="3" max="3" width="14.7109375" bestFit="1" customWidth="1"/>
    <col min="5" max="5" width="21.85546875" bestFit="1" customWidth="1"/>
    <col min="18" max="18" width="16.28515625" customWidth="1"/>
  </cols>
  <sheetData>
    <row r="3" spans="1:18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>
      <c r="A6" s="87" t="s">
        <v>3</v>
      </c>
      <c r="B6" s="87" t="s">
        <v>4</v>
      </c>
      <c r="C6" s="87" t="s">
        <v>5</v>
      </c>
      <c r="D6" s="87" t="s">
        <v>6</v>
      </c>
      <c r="E6" s="87" t="s">
        <v>7</v>
      </c>
      <c r="F6" s="87" t="s">
        <v>8</v>
      </c>
      <c r="G6" s="87" t="s">
        <v>9</v>
      </c>
      <c r="H6" s="87" t="s">
        <v>10</v>
      </c>
      <c r="I6" s="87" t="s">
        <v>11</v>
      </c>
      <c r="J6" s="87" t="s">
        <v>12</v>
      </c>
      <c r="K6" s="87" t="s">
        <v>13</v>
      </c>
      <c r="L6" s="87" t="s">
        <v>14</v>
      </c>
      <c r="M6" s="87" t="s">
        <v>15</v>
      </c>
      <c r="N6" s="87" t="s">
        <v>16</v>
      </c>
      <c r="O6" s="87" t="s">
        <v>17</v>
      </c>
      <c r="P6" s="87" t="s">
        <v>18</v>
      </c>
      <c r="Q6" s="87" t="s">
        <v>19</v>
      </c>
      <c r="R6" s="87" t="s">
        <v>20</v>
      </c>
    </row>
    <row r="7" spans="1:18" ht="28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">
      <c r="A8" s="1">
        <v>1.1000000000000001</v>
      </c>
      <c r="B8" s="2" t="s">
        <v>21</v>
      </c>
      <c r="C8" s="3"/>
      <c r="D8" s="4"/>
      <c r="E8" s="4"/>
    </row>
    <row r="9" spans="1:18">
      <c r="A9" s="5" t="s">
        <v>22</v>
      </c>
      <c r="B9" s="6" t="s">
        <v>23</v>
      </c>
      <c r="C9" s="7">
        <v>980000000</v>
      </c>
      <c r="D9" s="7"/>
      <c r="E9" s="7">
        <v>980000000</v>
      </c>
      <c r="F9" s="7">
        <v>0</v>
      </c>
      <c r="G9" s="7">
        <v>315000000</v>
      </c>
      <c r="H9" s="7">
        <v>0</v>
      </c>
      <c r="I9" s="7">
        <v>0</v>
      </c>
      <c r="J9" s="7">
        <v>0</v>
      </c>
      <c r="K9" s="7">
        <v>300000000</v>
      </c>
      <c r="L9" s="7">
        <v>0</v>
      </c>
      <c r="M9" s="7">
        <v>0</v>
      </c>
      <c r="N9" s="7">
        <v>0</v>
      </c>
      <c r="O9" s="7">
        <v>300000000</v>
      </c>
      <c r="P9" s="7">
        <v>0</v>
      </c>
      <c r="Q9" s="7">
        <v>85000000</v>
      </c>
      <c r="R9" s="7">
        <f>SUM(F9:Q9)</f>
        <v>1000000000</v>
      </c>
    </row>
    <row r="10" spans="1:18">
      <c r="A10" s="1">
        <v>1.2</v>
      </c>
      <c r="B10" s="2" t="s">
        <v>24</v>
      </c>
      <c r="C10" s="7"/>
      <c r="D10" s="8"/>
      <c r="E10" s="8"/>
    </row>
    <row r="11" spans="1:18">
      <c r="A11" s="5" t="s">
        <v>25</v>
      </c>
      <c r="B11" s="6" t="s">
        <v>26</v>
      </c>
      <c r="C11" s="7">
        <v>1500000000</v>
      </c>
      <c r="D11" s="7"/>
      <c r="E11" s="7">
        <v>1500000000</v>
      </c>
      <c r="F11" s="7">
        <v>113536147</v>
      </c>
      <c r="G11" s="7">
        <v>167112456</v>
      </c>
      <c r="H11" s="7">
        <v>198590499</v>
      </c>
      <c r="I11" s="7">
        <v>110874514</v>
      </c>
      <c r="J11" s="7">
        <v>134752000</v>
      </c>
      <c r="K11" s="7">
        <v>112353469</v>
      </c>
      <c r="L11" s="7">
        <v>108956542</v>
      </c>
      <c r="M11" s="7">
        <v>99252479</v>
      </c>
      <c r="N11" s="7">
        <v>111963271</v>
      </c>
      <c r="O11" s="7">
        <v>215662187</v>
      </c>
      <c r="P11" s="7">
        <v>164587962</v>
      </c>
      <c r="Q11" s="7">
        <f>135862926+91807168</f>
        <v>227670094</v>
      </c>
      <c r="R11" s="7">
        <f t="shared" ref="R11:R51" si="0">SUM(F11:Q11)</f>
        <v>1765311620</v>
      </c>
    </row>
    <row r="12" spans="1:18">
      <c r="A12" s="5" t="s">
        <v>27</v>
      </c>
      <c r="B12" s="6" t="s">
        <v>28</v>
      </c>
      <c r="C12" s="7">
        <v>210000000</v>
      </c>
      <c r="D12" s="7"/>
      <c r="E12" s="7">
        <v>210000000</v>
      </c>
      <c r="F12" s="7">
        <v>21870456</v>
      </c>
      <c r="G12" s="7">
        <v>24568974</v>
      </c>
      <c r="H12" s="7">
        <v>19845623</v>
      </c>
      <c r="I12" s="7">
        <v>14257865</v>
      </c>
      <c r="J12" s="7">
        <v>16879547</v>
      </c>
      <c r="K12" s="7">
        <v>18975642</v>
      </c>
      <c r="L12" s="7">
        <v>17698243</v>
      </c>
      <c r="M12" s="7">
        <v>12417874</v>
      </c>
      <c r="N12" s="7">
        <v>16745232</v>
      </c>
      <c r="O12" s="7">
        <v>14568796</v>
      </c>
      <c r="P12" s="7">
        <v>12006820</v>
      </c>
      <c r="Q12" s="7">
        <v>19879586</v>
      </c>
      <c r="R12" s="7">
        <f t="shared" si="0"/>
        <v>209714658</v>
      </c>
    </row>
    <row r="13" spans="1:18">
      <c r="A13" s="5" t="s">
        <v>29</v>
      </c>
      <c r="B13" s="6" t="s">
        <v>30</v>
      </c>
      <c r="C13" s="7">
        <v>39000000</v>
      </c>
      <c r="D13" s="7"/>
      <c r="E13" s="7">
        <v>39000000</v>
      </c>
      <c r="F13" s="7">
        <v>3546892</v>
      </c>
      <c r="G13" s="7">
        <v>2895641</v>
      </c>
      <c r="H13" s="7">
        <v>1426587</v>
      </c>
      <c r="I13" s="7">
        <v>752689</v>
      </c>
      <c r="J13" s="7">
        <v>956852</v>
      </c>
      <c r="K13" s="7">
        <v>2564789</v>
      </c>
      <c r="L13" s="7">
        <v>1145682</v>
      </c>
      <c r="M13" s="7">
        <v>924631</v>
      </c>
      <c r="N13" s="7">
        <v>1032987</v>
      </c>
      <c r="O13" s="7">
        <v>895246</v>
      </c>
      <c r="P13" s="7">
        <v>452884</v>
      </c>
      <c r="Q13" s="7">
        <v>789623</v>
      </c>
      <c r="R13" s="7">
        <f t="shared" si="0"/>
        <v>17384503</v>
      </c>
    </row>
    <row r="14" spans="1:18">
      <c r="A14" s="5" t="s">
        <v>31</v>
      </c>
      <c r="B14" s="6" t="s">
        <v>32</v>
      </c>
      <c r="C14" s="7">
        <v>1030728000</v>
      </c>
      <c r="D14" s="7"/>
      <c r="E14" s="7">
        <v>1030728000</v>
      </c>
      <c r="F14" s="7">
        <v>146901308</v>
      </c>
      <c r="G14" s="7">
        <v>136756241</v>
      </c>
      <c r="H14" s="7">
        <v>76589412</v>
      </c>
      <c r="I14" s="7">
        <v>65974235</v>
      </c>
      <c r="J14" s="7">
        <v>88752412</v>
      </c>
      <c r="K14" s="7">
        <v>102568790</v>
      </c>
      <c r="L14" s="7">
        <v>113487952</v>
      </c>
      <c r="M14" s="7">
        <v>89762343</v>
      </c>
      <c r="N14" s="7">
        <v>116564288</v>
      </c>
      <c r="O14" s="7">
        <v>89652314</v>
      </c>
      <c r="P14" s="7">
        <v>79982361</v>
      </c>
      <c r="Q14" s="7">
        <v>97536872</v>
      </c>
      <c r="R14" s="7">
        <f t="shared" si="0"/>
        <v>1204528528</v>
      </c>
    </row>
    <row r="15" spans="1:18">
      <c r="A15" s="5" t="s">
        <v>33</v>
      </c>
      <c r="B15" s="6" t="s">
        <v>34</v>
      </c>
      <c r="C15" s="7">
        <v>43000000</v>
      </c>
      <c r="D15" s="7"/>
      <c r="E15" s="7">
        <v>43000000</v>
      </c>
      <c r="F15" s="7">
        <v>3362663</v>
      </c>
      <c r="G15" s="7">
        <v>3689582</v>
      </c>
      <c r="H15" s="7">
        <v>2578965</v>
      </c>
      <c r="I15" s="7">
        <v>1325852</v>
      </c>
      <c r="J15" s="7">
        <v>1546893</v>
      </c>
      <c r="K15" s="7">
        <v>1986324</v>
      </c>
      <c r="L15" s="7">
        <v>1785241</v>
      </c>
      <c r="M15" s="7">
        <v>1664732</v>
      </c>
      <c r="N15" s="7">
        <v>1942536</v>
      </c>
      <c r="O15" s="7">
        <v>1546875</v>
      </c>
      <c r="P15" s="7">
        <v>1952358</v>
      </c>
      <c r="Q15" s="7">
        <v>3963568</v>
      </c>
      <c r="R15" s="7">
        <f t="shared" si="0"/>
        <v>27345589</v>
      </c>
    </row>
    <row r="16" spans="1:18">
      <c r="A16" s="5" t="s">
        <v>35</v>
      </c>
      <c r="B16" s="6" t="s">
        <v>36</v>
      </c>
      <c r="C16" s="7">
        <v>43000000</v>
      </c>
      <c r="D16" s="7"/>
      <c r="E16" s="7">
        <v>43000000</v>
      </c>
      <c r="F16" s="7">
        <v>1256879</v>
      </c>
      <c r="G16" s="7">
        <v>1865479</v>
      </c>
      <c r="H16" s="7">
        <v>456258</v>
      </c>
      <c r="I16" s="7">
        <v>285697</v>
      </c>
      <c r="J16" s="7">
        <v>302546</v>
      </c>
      <c r="K16" s="7">
        <v>876542</v>
      </c>
      <c r="L16" s="7">
        <v>1802468</v>
      </c>
      <c r="M16" s="7">
        <v>1487521</v>
      </c>
      <c r="N16" s="7">
        <v>1862476</v>
      </c>
      <c r="O16" s="7">
        <v>1756823</v>
      </c>
      <c r="P16" s="7">
        <v>2126534</v>
      </c>
      <c r="Q16" s="7">
        <v>3835622</v>
      </c>
      <c r="R16" s="7">
        <f t="shared" si="0"/>
        <v>17914845</v>
      </c>
    </row>
    <row r="17" spans="1:18">
      <c r="A17" s="5" t="s">
        <v>37</v>
      </c>
      <c r="B17" s="6" t="s">
        <v>38</v>
      </c>
      <c r="C17" s="7">
        <v>40000000</v>
      </c>
      <c r="D17" s="7"/>
      <c r="E17" s="7">
        <v>40000000</v>
      </c>
      <c r="F17" s="7">
        <v>3362663</v>
      </c>
      <c r="G17" s="7">
        <v>3456872</v>
      </c>
      <c r="H17" s="7">
        <v>2478322</v>
      </c>
      <c r="I17" s="7">
        <v>1985623</v>
      </c>
      <c r="J17" s="7">
        <v>2214753</v>
      </c>
      <c r="K17" s="7">
        <v>3985462</v>
      </c>
      <c r="L17" s="7">
        <v>3852412</v>
      </c>
      <c r="M17" s="7">
        <v>3268439</v>
      </c>
      <c r="N17" s="7">
        <v>3745136</v>
      </c>
      <c r="O17" s="7">
        <v>4025874</v>
      </c>
      <c r="P17" s="7">
        <v>3587421</v>
      </c>
      <c r="Q17" s="7">
        <v>4985628</v>
      </c>
      <c r="R17" s="7">
        <f t="shared" si="0"/>
        <v>40948605</v>
      </c>
    </row>
    <row r="18" spans="1:18">
      <c r="A18" s="5" t="s">
        <v>39</v>
      </c>
      <c r="B18" s="6" t="s">
        <v>40</v>
      </c>
      <c r="C18" s="7">
        <v>5420000</v>
      </c>
      <c r="D18" s="7"/>
      <c r="E18" s="7">
        <v>5420000</v>
      </c>
      <c r="F18" s="7">
        <v>256840</v>
      </c>
      <c r="G18" s="7">
        <v>385467</v>
      </c>
      <c r="H18" s="7">
        <v>214322</v>
      </c>
      <c r="I18" s="7">
        <v>124856</v>
      </c>
      <c r="J18" s="7">
        <v>185642</v>
      </c>
      <c r="K18" s="7">
        <v>325861</v>
      </c>
      <c r="L18" s="7">
        <v>248712</v>
      </c>
      <c r="M18" s="7">
        <v>358791</v>
      </c>
      <c r="N18" s="7">
        <v>359647</v>
      </c>
      <c r="O18" s="7">
        <v>254687</v>
      </c>
      <c r="P18" s="7">
        <v>356897</v>
      </c>
      <c r="Q18" s="7">
        <v>426587</v>
      </c>
      <c r="R18" s="7">
        <f t="shared" si="0"/>
        <v>3498309</v>
      </c>
    </row>
    <row r="19" spans="1:18">
      <c r="A19" s="5" t="s">
        <v>41</v>
      </c>
      <c r="B19" s="6" t="s">
        <v>42</v>
      </c>
      <c r="C19" s="7">
        <v>350000000</v>
      </c>
      <c r="D19" s="7"/>
      <c r="E19" s="7">
        <v>350000000</v>
      </c>
      <c r="F19" s="7">
        <v>41458724</v>
      </c>
      <c r="G19" s="7">
        <v>28754179</v>
      </c>
      <c r="H19" s="7">
        <v>12323695</v>
      </c>
      <c r="I19" s="7">
        <v>8875642</v>
      </c>
      <c r="J19" s="7">
        <v>11456896</v>
      </c>
      <c r="K19" s="7">
        <v>48756231</v>
      </c>
      <c r="L19" s="7">
        <v>47748216</v>
      </c>
      <c r="M19" s="7">
        <v>40752199</v>
      </c>
      <c r="N19" s="7">
        <v>41745922</v>
      </c>
      <c r="O19" s="7">
        <v>36425221</v>
      </c>
      <c r="P19" s="7">
        <v>33875641</v>
      </c>
      <c r="Q19" s="7">
        <v>49962414</v>
      </c>
      <c r="R19" s="7">
        <f t="shared" si="0"/>
        <v>402134980</v>
      </c>
    </row>
    <row r="20" spans="1:18">
      <c r="A20" s="5" t="s">
        <v>43</v>
      </c>
      <c r="B20" s="6" t="s">
        <v>44</v>
      </c>
      <c r="C20" s="7">
        <v>8500000</v>
      </c>
      <c r="D20" s="7"/>
      <c r="E20" s="7">
        <v>8500000</v>
      </c>
      <c r="F20" s="7">
        <v>71500</v>
      </c>
      <c r="G20" s="7">
        <v>564872</v>
      </c>
      <c r="H20" s="7">
        <v>322654</v>
      </c>
      <c r="I20" s="7">
        <v>254754</v>
      </c>
      <c r="J20" s="7">
        <v>186984</v>
      </c>
      <c r="K20" s="7">
        <v>658742</v>
      </c>
      <c r="L20" s="7">
        <v>235471</v>
      </c>
      <c r="M20" s="7">
        <v>152874</v>
      </c>
      <c r="N20" s="7">
        <v>276942</v>
      </c>
      <c r="O20" s="7">
        <v>198756</v>
      </c>
      <c r="P20" s="7">
        <v>225698</v>
      </c>
      <c r="Q20" s="7">
        <v>174692</v>
      </c>
      <c r="R20" s="7">
        <f t="shared" si="0"/>
        <v>3323939</v>
      </c>
    </row>
    <row r="21" spans="1:18">
      <c r="A21" s="5" t="s">
        <v>45</v>
      </c>
      <c r="B21" s="6" t="s">
        <v>46</v>
      </c>
      <c r="C21" s="7">
        <v>490000000</v>
      </c>
      <c r="D21" s="7"/>
      <c r="E21" s="7">
        <v>490000000</v>
      </c>
      <c r="F21" s="7">
        <v>13450654</v>
      </c>
      <c r="G21" s="7">
        <v>15487962</v>
      </c>
      <c r="H21" s="7">
        <v>12236429</v>
      </c>
      <c r="I21" s="7">
        <v>14706029</v>
      </c>
      <c r="J21" s="7">
        <v>12478962</v>
      </c>
      <c r="K21" s="7">
        <v>17589742</v>
      </c>
      <c r="L21" s="7">
        <v>24456988</v>
      </c>
      <c r="M21" s="7">
        <v>14723984</v>
      </c>
      <c r="N21" s="7">
        <v>25874522</v>
      </c>
      <c r="O21" s="7">
        <v>23478124</v>
      </c>
      <c r="P21" s="7">
        <v>36986543</v>
      </c>
      <c r="Q21" s="7">
        <v>58725463</v>
      </c>
      <c r="R21" s="7">
        <f t="shared" si="0"/>
        <v>270195402</v>
      </c>
    </row>
    <row r="22" spans="1:18">
      <c r="A22" s="5" t="s">
        <v>47</v>
      </c>
      <c r="B22" s="6" t="s">
        <v>48</v>
      </c>
      <c r="C22" s="7">
        <v>512000</v>
      </c>
      <c r="D22" s="7"/>
      <c r="E22" s="7">
        <v>512000</v>
      </c>
      <c r="F22" s="7">
        <v>6725327</v>
      </c>
      <c r="G22" s="7">
        <v>6978542</v>
      </c>
      <c r="H22" s="7">
        <v>1456327</v>
      </c>
      <c r="I22" s="7">
        <v>985674</v>
      </c>
      <c r="J22" s="7">
        <v>1256388</v>
      </c>
      <c r="K22" s="7">
        <v>789652</v>
      </c>
      <c r="L22" s="7">
        <v>1858749</v>
      </c>
      <c r="M22" s="7">
        <v>856752</v>
      </c>
      <c r="N22" s="7">
        <v>1174523</v>
      </c>
      <c r="O22" s="7">
        <v>2564782</v>
      </c>
      <c r="P22" s="7">
        <v>2876936</v>
      </c>
      <c r="Q22" s="7">
        <v>1956423</v>
      </c>
      <c r="R22" s="7">
        <f t="shared" si="0"/>
        <v>29480075</v>
      </c>
    </row>
    <row r="23" spans="1:18">
      <c r="A23" s="5" t="s">
        <v>49</v>
      </c>
      <c r="B23" s="6" t="s">
        <v>50</v>
      </c>
      <c r="C23" s="7">
        <v>3650000</v>
      </c>
      <c r="D23" s="7"/>
      <c r="E23" s="7">
        <v>3650000</v>
      </c>
      <c r="F23" s="7">
        <v>98400</v>
      </c>
      <c r="G23" s="7">
        <v>984147</v>
      </c>
      <c r="H23" s="7">
        <v>723656</v>
      </c>
      <c r="I23" s="7">
        <v>568745</v>
      </c>
      <c r="J23" s="7">
        <v>432522</v>
      </c>
      <c r="K23" s="7">
        <v>231562</v>
      </c>
      <c r="L23" s="7">
        <v>323644</v>
      </c>
      <c r="M23" s="7">
        <v>228745</v>
      </c>
      <c r="N23" s="7">
        <v>2968432</v>
      </c>
      <c r="O23" s="7">
        <v>2689542</v>
      </c>
      <c r="P23" s="7">
        <v>1456872</v>
      </c>
      <c r="Q23" s="7">
        <v>1654823</v>
      </c>
      <c r="R23" s="7">
        <f t="shared" si="0"/>
        <v>12361090</v>
      </c>
    </row>
    <row r="24" spans="1:18">
      <c r="A24" s="5" t="s">
        <v>51</v>
      </c>
      <c r="B24" s="6" t="s">
        <v>52</v>
      </c>
      <c r="C24" s="7">
        <v>6890000</v>
      </c>
      <c r="D24" s="7"/>
      <c r="E24" s="7">
        <v>6890000</v>
      </c>
      <c r="F24" s="7">
        <v>571960</v>
      </c>
      <c r="G24" s="7">
        <v>682545</v>
      </c>
      <c r="H24" s="7">
        <v>255412</v>
      </c>
      <c r="I24" s="7">
        <v>124633</v>
      </c>
      <c r="J24" s="7">
        <v>98642</v>
      </c>
      <c r="K24" s="7">
        <v>122587</v>
      </c>
      <c r="L24" s="7">
        <v>75986</v>
      </c>
      <c r="M24" s="7">
        <v>82432</v>
      </c>
      <c r="N24" s="7">
        <v>847126</v>
      </c>
      <c r="O24" s="7">
        <v>802478</v>
      </c>
      <c r="P24" s="7">
        <v>685423</v>
      </c>
      <c r="Q24" s="7">
        <v>574266</v>
      </c>
      <c r="R24" s="7">
        <f t="shared" si="0"/>
        <v>4923490</v>
      </c>
    </row>
    <row r="25" spans="1:18">
      <c r="A25" s="5" t="s">
        <v>53</v>
      </c>
      <c r="B25" s="6" t="s">
        <v>54</v>
      </c>
      <c r="C25" s="7">
        <v>43000000</v>
      </c>
      <c r="D25" s="7"/>
      <c r="E25" s="7">
        <v>43000000</v>
      </c>
      <c r="F25" s="7">
        <v>3362663</v>
      </c>
      <c r="G25" s="7">
        <v>3925648</v>
      </c>
      <c r="H25" s="7">
        <v>2122634</v>
      </c>
      <c r="I25" s="7">
        <v>2424589</v>
      </c>
      <c r="J25" s="7">
        <v>2965874</v>
      </c>
      <c r="K25" s="7">
        <v>3698741</v>
      </c>
      <c r="L25" s="7">
        <v>2745238</v>
      </c>
      <c r="M25" s="7">
        <v>2682594</v>
      </c>
      <c r="N25" s="7">
        <v>2896478</v>
      </c>
      <c r="O25" s="7">
        <v>3456874</v>
      </c>
      <c r="P25" s="7">
        <v>2963547</v>
      </c>
      <c r="Q25" s="7">
        <v>3974521</v>
      </c>
      <c r="R25" s="7">
        <f t="shared" si="0"/>
        <v>37219401</v>
      </c>
    </row>
    <row r="26" spans="1:18">
      <c r="A26" s="5" t="s">
        <v>55</v>
      </c>
      <c r="B26" s="6" t="s">
        <v>56</v>
      </c>
      <c r="C26" s="7">
        <v>11000000</v>
      </c>
      <c r="D26" s="7"/>
      <c r="E26" s="7">
        <v>11000000</v>
      </c>
      <c r="F26" s="7">
        <v>573600</v>
      </c>
      <c r="G26" s="7">
        <v>574825</v>
      </c>
      <c r="H26" s="7">
        <v>236568</v>
      </c>
      <c r="I26" s="7">
        <v>198562</v>
      </c>
      <c r="J26" s="7">
        <v>221654</v>
      </c>
      <c r="K26" s="7">
        <v>174693</v>
      </c>
      <c r="L26" s="7">
        <v>175632</v>
      </c>
      <c r="M26" s="7">
        <v>142763</v>
      </c>
      <c r="N26" s="7">
        <v>202457</v>
      </c>
      <c r="O26" s="7">
        <v>156423</v>
      </c>
      <c r="P26" s="7">
        <v>114693</v>
      </c>
      <c r="Q26" s="7">
        <v>108722</v>
      </c>
      <c r="R26" s="7">
        <f t="shared" si="0"/>
        <v>2880592</v>
      </c>
    </row>
    <row r="27" spans="1:18">
      <c r="A27" s="5" t="s">
        <v>57</v>
      </c>
      <c r="B27" s="6" t="s">
        <v>58</v>
      </c>
      <c r="C27" s="7">
        <v>16000000</v>
      </c>
      <c r="D27" s="7"/>
      <c r="E27" s="7">
        <v>16000000</v>
      </c>
      <c r="F27" s="7">
        <v>740500</v>
      </c>
      <c r="G27" s="7">
        <v>652496</v>
      </c>
      <c r="H27" s="7">
        <v>305463</v>
      </c>
      <c r="I27" s="7">
        <v>256247</v>
      </c>
      <c r="J27" s="7">
        <v>212456</v>
      </c>
      <c r="K27" s="7">
        <v>863952</v>
      </c>
      <c r="L27" s="7">
        <v>625874</v>
      </c>
      <c r="M27" s="7">
        <v>472568</v>
      </c>
      <c r="N27" s="7">
        <v>782463</v>
      </c>
      <c r="O27" s="7">
        <v>589632</v>
      </c>
      <c r="P27" s="7">
        <v>789652</v>
      </c>
      <c r="Q27" s="7">
        <v>1356874</v>
      </c>
      <c r="R27" s="7">
        <f t="shared" si="0"/>
        <v>7648177</v>
      </c>
    </row>
    <row r="28" spans="1:18">
      <c r="A28" s="5" t="s">
        <v>59</v>
      </c>
      <c r="B28" s="6" t="s">
        <v>60</v>
      </c>
      <c r="C28" s="7">
        <v>28000000</v>
      </c>
      <c r="D28" s="7"/>
      <c r="E28" s="7">
        <v>28000000</v>
      </c>
      <c r="F28" s="7">
        <v>1546897</v>
      </c>
      <c r="G28" s="7">
        <v>1224668</v>
      </c>
      <c r="H28" s="7">
        <v>822456</v>
      </c>
      <c r="I28" s="7">
        <v>745682</v>
      </c>
      <c r="J28" s="7">
        <v>689745</v>
      </c>
      <c r="K28" s="7">
        <v>1896523</v>
      </c>
      <c r="L28" s="7">
        <v>987423</v>
      </c>
      <c r="M28" s="7">
        <v>885463</v>
      </c>
      <c r="N28" s="7">
        <v>1048369</v>
      </c>
      <c r="O28" s="7">
        <v>2456876</v>
      </c>
      <c r="P28" s="7">
        <v>1112365</v>
      </c>
      <c r="Q28" s="7">
        <v>1345876</v>
      </c>
      <c r="R28" s="7">
        <f t="shared" si="0"/>
        <v>14762343</v>
      </c>
    </row>
    <row r="29" spans="1:18">
      <c r="A29" s="5" t="s">
        <v>61</v>
      </c>
      <c r="B29" s="6" t="s">
        <v>62</v>
      </c>
      <c r="C29" s="7">
        <v>95000000</v>
      </c>
      <c r="D29" s="7"/>
      <c r="E29" s="7">
        <v>95000000</v>
      </c>
      <c r="F29" s="7">
        <v>8754962</v>
      </c>
      <c r="G29" s="7">
        <v>7985624</v>
      </c>
      <c r="H29" s="7">
        <v>2365621</v>
      </c>
      <c r="I29" s="7">
        <v>1878966</v>
      </c>
      <c r="J29" s="7">
        <v>2114632</v>
      </c>
      <c r="K29" s="7">
        <v>1698752</v>
      </c>
      <c r="L29" s="7">
        <v>1962486</v>
      </c>
      <c r="M29" s="7">
        <v>1368749</v>
      </c>
      <c r="N29" s="7">
        <v>1478524</v>
      </c>
      <c r="O29" s="7">
        <v>1689742</v>
      </c>
      <c r="P29" s="7">
        <v>2056893</v>
      </c>
      <c r="Q29" s="7">
        <v>2698523</v>
      </c>
      <c r="R29" s="7">
        <f t="shared" si="0"/>
        <v>36053474</v>
      </c>
    </row>
    <row r="30" spans="1:18">
      <c r="A30" s="5" t="s">
        <v>63</v>
      </c>
      <c r="B30" s="6" t="s">
        <v>64</v>
      </c>
      <c r="C30" s="7">
        <v>22000000</v>
      </c>
      <c r="D30" s="7"/>
      <c r="E30" s="7">
        <v>22000000</v>
      </c>
      <c r="F30" s="7">
        <v>1144500</v>
      </c>
      <c r="G30" s="7">
        <v>992547</v>
      </c>
      <c r="H30" s="7">
        <v>323220</v>
      </c>
      <c r="I30" s="7">
        <v>236984</v>
      </c>
      <c r="J30" s="7">
        <v>189745</v>
      </c>
      <c r="K30" s="7">
        <v>698536</v>
      </c>
      <c r="L30" s="7">
        <v>326842</v>
      </c>
      <c r="M30" s="7">
        <v>269744</v>
      </c>
      <c r="N30" s="7">
        <v>3089746</v>
      </c>
      <c r="O30" s="7">
        <v>2568943</v>
      </c>
      <c r="P30" s="7">
        <v>1875642</v>
      </c>
      <c r="Q30" s="7">
        <v>2012368</v>
      </c>
      <c r="R30" s="7">
        <f t="shared" si="0"/>
        <v>13728817</v>
      </c>
    </row>
    <row r="31" spans="1:18">
      <c r="A31" s="5" t="s">
        <v>65</v>
      </c>
      <c r="B31" s="6" t="s">
        <v>66</v>
      </c>
      <c r="C31" s="7">
        <v>3500000</v>
      </c>
      <c r="D31" s="7"/>
      <c r="E31" s="7">
        <v>3500000</v>
      </c>
      <c r="F31" s="7">
        <v>272560</v>
      </c>
      <c r="G31" s="7">
        <v>456821</v>
      </c>
      <c r="H31" s="7">
        <v>120324</v>
      </c>
      <c r="I31" s="7">
        <v>110447</v>
      </c>
      <c r="J31" s="7">
        <v>106524</v>
      </c>
      <c r="K31" s="7">
        <v>265412</v>
      </c>
      <c r="L31" s="7">
        <v>1849742</v>
      </c>
      <c r="M31" s="7">
        <v>987438</v>
      </c>
      <c r="N31" s="7">
        <v>1147836</v>
      </c>
      <c r="O31" s="7">
        <v>895623</v>
      </c>
      <c r="P31" s="7">
        <v>953872</v>
      </c>
      <c r="Q31" s="7">
        <v>852745</v>
      </c>
      <c r="R31" s="7">
        <f t="shared" si="0"/>
        <v>8019344</v>
      </c>
    </row>
    <row r="32" spans="1:18">
      <c r="A32" s="5" t="s">
        <v>67</v>
      </c>
      <c r="B32" s="6" t="s">
        <v>68</v>
      </c>
      <c r="C32" s="7">
        <v>200000</v>
      </c>
      <c r="D32" s="7"/>
      <c r="E32" s="7">
        <v>200000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>
      <c r="A33" s="5" t="s">
        <v>69</v>
      </c>
      <c r="B33" s="6" t="s">
        <v>70</v>
      </c>
      <c r="C33" s="7">
        <v>3500000</v>
      </c>
      <c r="D33" s="7"/>
      <c r="E33" s="7">
        <v>3500000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>
      <c r="A34" s="5" t="s">
        <v>71</v>
      </c>
      <c r="B34" s="6" t="s">
        <v>72</v>
      </c>
      <c r="C34" s="7">
        <v>13000000</v>
      </c>
      <c r="D34" s="7"/>
      <c r="E34" s="7">
        <v>13000000</v>
      </c>
      <c r="F34" s="7">
        <v>654872</v>
      </c>
      <c r="G34" s="7">
        <v>354782</v>
      </c>
      <c r="H34" s="7">
        <v>128756</v>
      </c>
      <c r="I34" s="7">
        <v>245689</v>
      </c>
      <c r="J34" s="7">
        <v>212432</v>
      </c>
      <c r="K34" s="7">
        <v>345987</v>
      </c>
      <c r="L34" s="7">
        <v>284621</v>
      </c>
      <c r="M34" s="7">
        <v>106754</v>
      </c>
      <c r="N34" s="7">
        <v>189642</v>
      </c>
      <c r="O34" s="7">
        <v>145864</v>
      </c>
      <c r="P34" s="7">
        <v>176348</v>
      </c>
      <c r="Q34" s="7">
        <v>144236</v>
      </c>
      <c r="R34" s="7">
        <f t="shared" si="0"/>
        <v>2989983</v>
      </c>
    </row>
    <row r="35" spans="1:18">
      <c r="A35" s="5" t="s">
        <v>73</v>
      </c>
      <c r="B35" s="6" t="s">
        <v>74</v>
      </c>
      <c r="C35" s="7">
        <v>3000000</v>
      </c>
      <c r="D35" s="7"/>
      <c r="E35" s="7">
        <v>3000000</v>
      </c>
      <c r="F35" s="7">
        <v>358975</v>
      </c>
      <c r="G35" s="7">
        <v>698785</v>
      </c>
      <c r="H35" s="7">
        <v>339874</v>
      </c>
      <c r="I35" s="7">
        <v>289744</v>
      </c>
      <c r="J35" s="7">
        <v>345687</v>
      </c>
      <c r="K35" s="7">
        <v>423846</v>
      </c>
      <c r="L35" s="7">
        <v>48971</v>
      </c>
      <c r="M35" s="7">
        <v>326584</v>
      </c>
      <c r="N35" s="7">
        <v>447821</v>
      </c>
      <c r="O35" s="7">
        <v>345872</v>
      </c>
      <c r="P35" s="7">
        <v>372684</v>
      </c>
      <c r="Q35" s="7">
        <v>368744</v>
      </c>
      <c r="R35" s="7">
        <f t="shared" si="0"/>
        <v>4367587</v>
      </c>
    </row>
    <row r="36" spans="1:18">
      <c r="A36" s="5" t="s">
        <v>75</v>
      </c>
      <c r="B36" s="6" t="s">
        <v>76</v>
      </c>
      <c r="C36" s="7">
        <v>100000</v>
      </c>
      <c r="D36" s="7"/>
      <c r="E36" s="7">
        <v>100000</v>
      </c>
      <c r="F36" s="7">
        <v>242138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242138</v>
      </c>
    </row>
    <row r="37" spans="1:18">
      <c r="A37" s="5" t="s">
        <v>77</v>
      </c>
      <c r="B37" s="6" t="s">
        <v>78</v>
      </c>
      <c r="C37" s="7">
        <v>3000000</v>
      </c>
      <c r="D37" s="7"/>
      <c r="E37" s="7">
        <v>3000000</v>
      </c>
      <c r="F37" s="7">
        <v>563484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0"/>
        <v>563484</v>
      </c>
    </row>
    <row r="38" spans="1:18">
      <c r="A38" s="5" t="s">
        <v>79</v>
      </c>
      <c r="B38" s="6" t="s">
        <v>80</v>
      </c>
      <c r="C38" s="7">
        <v>5000000</v>
      </c>
      <c r="D38" s="7"/>
      <c r="E38" s="7">
        <v>5000000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0"/>
        <v>0</v>
      </c>
    </row>
    <row r="39" spans="1:18">
      <c r="A39" s="5" t="s">
        <v>81</v>
      </c>
      <c r="B39" s="6" t="s">
        <v>82</v>
      </c>
      <c r="C39" s="7">
        <v>100000000</v>
      </c>
      <c r="D39" s="7"/>
      <c r="E39" s="7">
        <v>100000000</v>
      </c>
      <c r="F39" s="7">
        <v>3562486</v>
      </c>
      <c r="G39" s="7">
        <v>4025687</v>
      </c>
      <c r="H39" s="7">
        <v>3022546</v>
      </c>
      <c r="I39" s="7">
        <v>2985462</v>
      </c>
      <c r="J39" s="7">
        <v>2236874</v>
      </c>
      <c r="K39" s="7">
        <v>2568923</v>
      </c>
      <c r="L39" s="7">
        <v>2649744</v>
      </c>
      <c r="M39" s="7">
        <v>1984236</v>
      </c>
      <c r="N39" s="7">
        <v>2045873</v>
      </c>
      <c r="O39" s="7">
        <v>3412892</v>
      </c>
      <c r="P39" s="7">
        <v>2763489</v>
      </c>
      <c r="Q39" s="7">
        <v>3854782</v>
      </c>
      <c r="R39" s="7">
        <f t="shared" si="0"/>
        <v>35112994</v>
      </c>
    </row>
    <row r="40" spans="1:18">
      <c r="A40" s="5" t="s">
        <v>83</v>
      </c>
      <c r="B40" s="6" t="s">
        <v>84</v>
      </c>
      <c r="C40" s="7">
        <v>25000000</v>
      </c>
      <c r="D40" s="7"/>
      <c r="E40" s="7">
        <v>25000000</v>
      </c>
      <c r="F40" s="7">
        <v>1248756</v>
      </c>
      <c r="G40" s="7">
        <v>1564988</v>
      </c>
      <c r="H40" s="7">
        <v>745662</v>
      </c>
      <c r="I40" s="7">
        <v>684758</v>
      </c>
      <c r="J40" s="7">
        <v>548962</v>
      </c>
      <c r="K40" s="7">
        <v>1562487</v>
      </c>
      <c r="L40" s="7">
        <v>1347852</v>
      </c>
      <c r="M40" s="7">
        <v>1147823</v>
      </c>
      <c r="N40" s="7">
        <v>1697462</v>
      </c>
      <c r="O40" s="7">
        <v>1243698</v>
      </c>
      <c r="P40" s="7">
        <v>1742394</v>
      </c>
      <c r="Q40" s="7">
        <v>2458736</v>
      </c>
      <c r="R40" s="7">
        <f t="shared" si="0"/>
        <v>15993578</v>
      </c>
    </row>
    <row r="41" spans="1:18">
      <c r="A41" s="5" t="s">
        <v>85</v>
      </c>
      <c r="B41" s="6" t="s">
        <v>86</v>
      </c>
      <c r="C41" s="7">
        <v>30000000</v>
      </c>
      <c r="D41" s="7"/>
      <c r="E41" s="7">
        <v>30000000</v>
      </c>
      <c r="F41" s="7">
        <v>687563</v>
      </c>
      <c r="G41" s="7">
        <v>1024522</v>
      </c>
      <c r="H41" s="7">
        <v>655852</v>
      </c>
      <c r="I41" s="7">
        <v>624782</v>
      </c>
      <c r="J41" s="7">
        <v>632745</v>
      </c>
      <c r="K41" s="7">
        <v>1236589</v>
      </c>
      <c r="L41" s="7">
        <v>902456</v>
      </c>
      <c r="M41" s="7">
        <v>763416</v>
      </c>
      <c r="N41" s="7">
        <v>1024356</v>
      </c>
      <c r="O41" s="7">
        <v>984272</v>
      </c>
      <c r="P41" s="7">
        <v>863942</v>
      </c>
      <c r="Q41" s="7">
        <v>1258972</v>
      </c>
      <c r="R41" s="7">
        <f t="shared" si="0"/>
        <v>10659467</v>
      </c>
    </row>
    <row r="42" spans="1:18">
      <c r="A42" s="5" t="s">
        <v>87</v>
      </c>
      <c r="B42" s="6" t="s">
        <v>88</v>
      </c>
      <c r="C42" s="7">
        <v>7000000</v>
      </c>
      <c r="D42" s="7"/>
      <c r="E42" s="7">
        <v>7000000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0"/>
        <v>0</v>
      </c>
    </row>
    <row r="43" spans="1:18">
      <c r="A43" s="5" t="s">
        <v>89</v>
      </c>
      <c r="B43" s="6" t="s">
        <v>90</v>
      </c>
      <c r="C43" s="7">
        <v>5000000</v>
      </c>
      <c r="D43" s="7"/>
      <c r="E43" s="7">
        <v>5000000</v>
      </c>
      <c r="F43" s="7">
        <v>356872</v>
      </c>
      <c r="G43" s="7">
        <v>623248</v>
      </c>
      <c r="H43" s="7">
        <v>331552</v>
      </c>
      <c r="I43" s="7">
        <v>256874</v>
      </c>
      <c r="J43" s="7">
        <v>235478</v>
      </c>
      <c r="K43" s="7">
        <v>452639</v>
      </c>
      <c r="L43" s="7">
        <v>336574</v>
      </c>
      <c r="M43" s="7">
        <v>307852</v>
      </c>
      <c r="N43" s="7">
        <v>410752</v>
      </c>
      <c r="O43" s="7">
        <v>248962</v>
      </c>
      <c r="P43" s="7">
        <v>202358</v>
      </c>
      <c r="Q43" s="7">
        <v>198751</v>
      </c>
      <c r="R43" s="7">
        <f t="shared" si="0"/>
        <v>3961912</v>
      </c>
    </row>
    <row r="44" spans="1:18">
      <c r="A44" s="5" t="s">
        <v>91</v>
      </c>
      <c r="B44" s="6" t="s">
        <v>92</v>
      </c>
      <c r="C44" s="7">
        <v>6000000</v>
      </c>
      <c r="D44" s="7"/>
      <c r="E44" s="7">
        <v>6000000</v>
      </c>
      <c r="F44" s="7">
        <v>231462</v>
      </c>
      <c r="G44" s="7">
        <v>125872</v>
      </c>
      <c r="H44" s="7">
        <v>98222</v>
      </c>
      <c r="I44" s="7">
        <v>112478</v>
      </c>
      <c r="J44" s="7">
        <v>86542</v>
      </c>
      <c r="K44" s="7">
        <v>326587</v>
      </c>
      <c r="L44" s="7">
        <v>119632</v>
      </c>
      <c r="M44" s="7">
        <v>107845</v>
      </c>
      <c r="N44" s="7">
        <v>201463</v>
      </c>
      <c r="O44" s="7">
        <v>142364</v>
      </c>
      <c r="P44" s="7">
        <v>118434</v>
      </c>
      <c r="Q44" s="7">
        <v>126895</v>
      </c>
      <c r="R44" s="7">
        <f t="shared" si="0"/>
        <v>1797796</v>
      </c>
    </row>
    <row r="45" spans="1:18">
      <c r="A45" s="5" t="s">
        <v>93</v>
      </c>
      <c r="B45" s="6" t="s">
        <v>94</v>
      </c>
      <c r="C45" s="7">
        <v>1200000</v>
      </c>
      <c r="D45" s="7"/>
      <c r="E45" s="7">
        <v>1200000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0"/>
        <v>0</v>
      </c>
    </row>
    <row r="46" spans="1:18">
      <c r="A46" s="5" t="s">
        <v>95</v>
      </c>
      <c r="B46" s="6" t="s">
        <v>96</v>
      </c>
      <c r="C46" s="7">
        <v>2000000</v>
      </c>
      <c r="D46" s="7"/>
      <c r="E46" s="7">
        <v>2000000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0"/>
        <v>0</v>
      </c>
    </row>
    <row r="47" spans="1:18">
      <c r="A47" s="5" t="s">
        <v>97</v>
      </c>
      <c r="B47" s="6" t="s">
        <v>98</v>
      </c>
      <c r="C47" s="7">
        <v>30000000</v>
      </c>
      <c r="D47" s="7"/>
      <c r="E47" s="7">
        <v>30000000</v>
      </c>
      <c r="F47" s="7">
        <v>1468972</v>
      </c>
      <c r="G47" s="7">
        <v>1864752</v>
      </c>
      <c r="H47" s="7">
        <v>664122</v>
      </c>
      <c r="I47" s="7">
        <v>988564</v>
      </c>
      <c r="J47" s="7">
        <v>1114586</v>
      </c>
      <c r="K47" s="7">
        <v>2398741</v>
      </c>
      <c r="L47" s="7">
        <v>1946452</v>
      </c>
      <c r="M47" s="7">
        <v>2456872</v>
      </c>
      <c r="N47" s="7">
        <v>189544</v>
      </c>
      <c r="O47" s="7">
        <v>122466</v>
      </c>
      <c r="P47" s="7">
        <v>324696</v>
      </c>
      <c r="Q47" s="7">
        <v>1456852</v>
      </c>
      <c r="R47" s="7">
        <f t="shared" si="0"/>
        <v>14996619</v>
      </c>
    </row>
    <row r="48" spans="1:18">
      <c r="A48" s="5" t="s">
        <v>99</v>
      </c>
      <c r="B48" s="6" t="s">
        <v>100</v>
      </c>
      <c r="C48" s="7">
        <v>2200000</v>
      </c>
      <c r="D48" s="7"/>
      <c r="E48" s="7">
        <v>2200000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0"/>
        <v>0</v>
      </c>
    </row>
    <row r="49" spans="1:18">
      <c r="A49" s="5" t="s">
        <v>101</v>
      </c>
      <c r="B49" s="6" t="s">
        <v>102</v>
      </c>
      <c r="C49" s="7">
        <v>18500000</v>
      </c>
      <c r="D49" s="7"/>
      <c r="E49" s="7">
        <v>18500000</v>
      </c>
      <c r="F49" s="7">
        <v>289762</v>
      </c>
      <c r="G49" s="7">
        <v>321244</v>
      </c>
      <c r="H49" s="7">
        <v>120222</v>
      </c>
      <c r="I49" s="7">
        <v>212546</v>
      </c>
      <c r="J49" s="7">
        <v>188994</v>
      </c>
      <c r="K49" s="7">
        <v>542536</v>
      </c>
      <c r="L49" s="7">
        <v>324897</v>
      </c>
      <c r="M49" s="7">
        <v>244892</v>
      </c>
      <c r="N49" s="7">
        <v>401874</v>
      </c>
      <c r="O49" s="7">
        <v>247968</v>
      </c>
      <c r="P49" s="7">
        <v>241322</v>
      </c>
      <c r="Q49" s="7">
        <v>321458</v>
      </c>
      <c r="R49" s="7">
        <f t="shared" si="0"/>
        <v>3457715</v>
      </c>
    </row>
    <row r="50" spans="1:18">
      <c r="A50" s="5" t="s">
        <v>103</v>
      </c>
      <c r="B50" s="6" t="s">
        <v>104</v>
      </c>
      <c r="C50" s="7">
        <v>4500000</v>
      </c>
      <c r="D50" s="7"/>
      <c r="E50" s="7">
        <v>4500000</v>
      </c>
      <c r="F50" s="7">
        <v>114752</v>
      </c>
      <c r="G50" s="7">
        <v>175241</v>
      </c>
      <c r="H50" s="7">
        <v>82334</v>
      </c>
      <c r="I50" s="7">
        <v>98562</v>
      </c>
      <c r="J50" s="7">
        <v>102356</v>
      </c>
      <c r="K50" s="7">
        <v>369841</v>
      </c>
      <c r="L50" s="7">
        <v>204876</v>
      </c>
      <c r="M50" s="7">
        <v>196424</v>
      </c>
      <c r="N50" s="7">
        <v>304746</v>
      </c>
      <c r="O50" s="7">
        <v>256832</v>
      </c>
      <c r="P50" s="7">
        <v>214639</v>
      </c>
      <c r="Q50" s="7">
        <v>232478</v>
      </c>
      <c r="R50" s="7">
        <f t="shared" si="0"/>
        <v>2353081</v>
      </c>
    </row>
    <row r="51" spans="1:18">
      <c r="A51" s="5" t="s">
        <v>105</v>
      </c>
      <c r="B51" s="6" t="s">
        <v>106</v>
      </c>
      <c r="C51" s="7">
        <v>20000000</v>
      </c>
      <c r="D51" s="7"/>
      <c r="E51" s="7">
        <v>20000000</v>
      </c>
      <c r="F51" s="7">
        <v>3578944</v>
      </c>
      <c r="G51" s="7">
        <v>2461434</v>
      </c>
      <c r="H51" s="7">
        <v>1024632</v>
      </c>
      <c r="I51" s="7">
        <v>897524</v>
      </c>
      <c r="J51" s="7">
        <v>1528828</v>
      </c>
      <c r="K51" s="7">
        <v>236592</v>
      </c>
      <c r="L51" s="7">
        <v>1469742</v>
      </c>
      <c r="M51" s="7">
        <v>904687</v>
      </c>
      <c r="N51" s="7">
        <v>1238972</v>
      </c>
      <c r="O51" s="7">
        <v>1463588</v>
      </c>
      <c r="P51" s="7">
        <v>2569871</v>
      </c>
      <c r="Q51" s="7">
        <v>2456882</v>
      </c>
      <c r="R51" s="7">
        <f t="shared" si="0"/>
        <v>19831696</v>
      </c>
    </row>
    <row r="52" spans="1:18">
      <c r="A52" s="9"/>
      <c r="B52" s="10" t="s">
        <v>107</v>
      </c>
      <c r="C52" s="11">
        <v>5248400000</v>
      </c>
      <c r="D52" s="11">
        <v>0</v>
      </c>
      <c r="E52" s="11">
        <v>5248400000</v>
      </c>
      <c r="F52" s="11">
        <f>SUM(F9:F51)</f>
        <v>386225133</v>
      </c>
      <c r="G52" s="11">
        <f t="shared" ref="G52:R52" si="1">SUM(G9:G51)</f>
        <v>738236143</v>
      </c>
      <c r="H52" s="11">
        <f t="shared" si="1"/>
        <v>343008221</v>
      </c>
      <c r="I52" s="11">
        <f t="shared" si="1"/>
        <v>234345268</v>
      </c>
      <c r="J52" s="11">
        <f t="shared" si="1"/>
        <v>285235153</v>
      </c>
      <c r="K52" s="11">
        <f t="shared" si="1"/>
        <v>631546772</v>
      </c>
      <c r="L52" s="11">
        <f t="shared" si="1"/>
        <v>341985360</v>
      </c>
      <c r="M52" s="11">
        <f t="shared" si="1"/>
        <v>281290500</v>
      </c>
      <c r="N52" s="11">
        <f t="shared" si="1"/>
        <v>345901418</v>
      </c>
      <c r="O52" s="11">
        <f t="shared" si="1"/>
        <v>714950596</v>
      </c>
      <c r="P52" s="11">
        <f t="shared" si="1"/>
        <v>360617191</v>
      </c>
      <c r="Q52" s="11">
        <f t="shared" si="1"/>
        <v>582364076</v>
      </c>
      <c r="R52" s="11">
        <f t="shared" si="1"/>
        <v>5245705831</v>
      </c>
    </row>
    <row r="53" spans="1:18">
      <c r="A53" s="1">
        <v>2</v>
      </c>
      <c r="B53" s="12" t="s">
        <v>108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1">
        <v>2.1</v>
      </c>
      <c r="B54" s="6" t="s">
        <v>109</v>
      </c>
      <c r="C54" s="3"/>
      <c r="D54" s="3"/>
      <c r="E54" s="7"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f t="shared" ref="R54:R58" si="2">SUM(F54:Q54)</f>
        <v>0</v>
      </c>
    </row>
    <row r="55" spans="1:18">
      <c r="A55" s="1">
        <v>2.2000000000000002</v>
      </c>
      <c r="B55" s="6" t="s">
        <v>110</v>
      </c>
      <c r="C55" s="7">
        <v>250000000</v>
      </c>
      <c r="D55" s="7">
        <v>357101600</v>
      </c>
      <c r="E55" s="7">
        <v>607101600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2"/>
        <v>0</v>
      </c>
    </row>
    <row r="56" spans="1:18">
      <c r="A56" s="1">
        <v>22.1</v>
      </c>
      <c r="B56" s="6" t="s">
        <v>111</v>
      </c>
      <c r="C56" s="7">
        <v>1700000000</v>
      </c>
      <c r="D56" s="7"/>
      <c r="E56" s="7">
        <v>1700000000</v>
      </c>
      <c r="F56" s="7">
        <v>98894144</v>
      </c>
      <c r="G56" s="7">
        <v>75054864</v>
      </c>
      <c r="H56" s="7">
        <v>86853533</v>
      </c>
      <c r="I56" s="7">
        <v>73737624</v>
      </c>
      <c r="J56" s="7">
        <v>87972456</v>
      </c>
      <c r="K56" s="7">
        <v>76982463</v>
      </c>
      <c r="L56" s="7">
        <v>91456952</v>
      </c>
      <c r="M56" s="7">
        <v>79790836</v>
      </c>
      <c r="N56" s="7">
        <v>91858787</v>
      </c>
      <c r="O56" s="7">
        <v>51159653</v>
      </c>
      <c r="P56" s="7">
        <v>69897532</v>
      </c>
      <c r="Q56" s="7">
        <v>137854629</v>
      </c>
      <c r="R56" s="7">
        <f t="shared" si="2"/>
        <v>1021513473</v>
      </c>
    </row>
    <row r="57" spans="1:18">
      <c r="A57" s="1">
        <v>22.2</v>
      </c>
      <c r="B57" s="6" t="s">
        <v>112</v>
      </c>
      <c r="C57" s="7">
        <v>5500000</v>
      </c>
      <c r="D57" s="7"/>
      <c r="E57" s="7">
        <v>5500000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f t="shared" si="2"/>
        <v>0</v>
      </c>
    </row>
    <row r="58" spans="1:18">
      <c r="A58" s="1">
        <v>2.2999999999999998</v>
      </c>
      <c r="B58" s="6" t="s">
        <v>113</v>
      </c>
      <c r="C58" s="7">
        <v>1100000</v>
      </c>
      <c r="D58" s="7"/>
      <c r="E58" s="7">
        <v>1100000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f t="shared" si="2"/>
        <v>0</v>
      </c>
    </row>
    <row r="59" spans="1:18">
      <c r="A59" s="9"/>
      <c r="B59" s="10" t="s">
        <v>114</v>
      </c>
      <c r="C59" s="11">
        <v>1956600000</v>
      </c>
      <c r="D59" s="11">
        <v>357101600</v>
      </c>
      <c r="E59" s="11">
        <v>2313701600</v>
      </c>
      <c r="F59" s="11">
        <f>SUM(F54:F58)</f>
        <v>98894144</v>
      </c>
      <c r="G59" s="11">
        <f t="shared" ref="G59:R59" si="3">SUM(G54:G58)</f>
        <v>75054864</v>
      </c>
      <c r="H59" s="11">
        <f t="shared" si="3"/>
        <v>86853533</v>
      </c>
      <c r="I59" s="11">
        <f t="shared" si="3"/>
        <v>73737624</v>
      </c>
      <c r="J59" s="11">
        <f t="shared" si="3"/>
        <v>87972456</v>
      </c>
      <c r="K59" s="11">
        <f t="shared" si="3"/>
        <v>76982463</v>
      </c>
      <c r="L59" s="11">
        <f t="shared" si="3"/>
        <v>91456952</v>
      </c>
      <c r="M59" s="11">
        <f t="shared" si="3"/>
        <v>79790836</v>
      </c>
      <c r="N59" s="11">
        <f t="shared" si="3"/>
        <v>91858787</v>
      </c>
      <c r="O59" s="11">
        <f t="shared" si="3"/>
        <v>51159653</v>
      </c>
      <c r="P59" s="11">
        <f t="shared" si="3"/>
        <v>69897532</v>
      </c>
      <c r="Q59" s="11">
        <f t="shared" si="3"/>
        <v>137854629</v>
      </c>
      <c r="R59" s="11">
        <f t="shared" si="3"/>
        <v>1021513473</v>
      </c>
    </row>
    <row r="60" spans="1:18">
      <c r="A60" s="9"/>
      <c r="B60" s="13" t="s">
        <v>115</v>
      </c>
      <c r="C60" s="11">
        <v>7205000000</v>
      </c>
      <c r="D60" s="11">
        <v>357101600</v>
      </c>
      <c r="E60" s="11">
        <v>7562101600</v>
      </c>
      <c r="F60" s="11">
        <f>F52+F59</f>
        <v>485119277</v>
      </c>
      <c r="G60" s="11">
        <f t="shared" ref="G60:R60" si="4">G52+G59</f>
        <v>813291007</v>
      </c>
      <c r="H60" s="11">
        <f t="shared" si="4"/>
        <v>429861754</v>
      </c>
      <c r="I60" s="11">
        <f t="shared" si="4"/>
        <v>308082892</v>
      </c>
      <c r="J60" s="11">
        <f t="shared" si="4"/>
        <v>373207609</v>
      </c>
      <c r="K60" s="11">
        <f t="shared" si="4"/>
        <v>708529235</v>
      </c>
      <c r="L60" s="11">
        <f t="shared" si="4"/>
        <v>433442312</v>
      </c>
      <c r="M60" s="11">
        <f t="shared" si="4"/>
        <v>361081336</v>
      </c>
      <c r="N60" s="11">
        <f t="shared" si="4"/>
        <v>437760205</v>
      </c>
      <c r="O60" s="11">
        <f t="shared" si="4"/>
        <v>766110249</v>
      </c>
      <c r="P60" s="11">
        <f t="shared" si="4"/>
        <v>430514723</v>
      </c>
      <c r="Q60" s="11">
        <f t="shared" si="4"/>
        <v>720218705</v>
      </c>
      <c r="R60" s="11">
        <f t="shared" si="4"/>
        <v>6267219304</v>
      </c>
    </row>
  </sheetData>
  <mergeCells count="21">
    <mergeCell ref="M6:M7"/>
    <mergeCell ref="A3:R3"/>
    <mergeCell ref="A4:R4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Q6:Q7"/>
    <mergeCell ref="R6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topLeftCell="A58" workbookViewId="0">
      <selection activeCell="U3" sqref="U1:U1048576"/>
    </sheetView>
  </sheetViews>
  <sheetFormatPr baseColWidth="10" defaultRowHeight="15"/>
  <cols>
    <col min="2" max="2" width="49.28515625" bestFit="1" customWidth="1"/>
    <col min="3" max="3" width="18.42578125" bestFit="1" customWidth="1"/>
    <col min="4" max="4" width="16.28515625" customWidth="1"/>
    <col min="5" max="5" width="15.28515625" customWidth="1"/>
    <col min="6" max="6" width="15.5703125" customWidth="1"/>
    <col min="7" max="7" width="19.42578125" customWidth="1"/>
    <col min="8" max="8" width="17.7109375" customWidth="1"/>
    <col min="9" max="9" width="18.140625" customWidth="1"/>
    <col min="10" max="10" width="17" customWidth="1"/>
    <col min="11" max="11" width="16.140625" customWidth="1"/>
    <col min="12" max="12" width="18.42578125" customWidth="1"/>
    <col min="13" max="13" width="16.140625" customWidth="1"/>
    <col min="14" max="14" width="17" customWidth="1"/>
    <col min="15" max="15" width="18.85546875" customWidth="1"/>
    <col min="16" max="16" width="17.7109375" customWidth="1"/>
    <col min="17" max="17" width="19.7109375" customWidth="1"/>
    <col min="18" max="18" width="19" customWidth="1"/>
    <col min="19" max="19" width="19.28515625" customWidth="1"/>
    <col min="20" max="20" width="18.7109375" customWidth="1"/>
  </cols>
  <sheetData>
    <row r="1" spans="1:20" ht="23.25">
      <c r="A1" s="97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23.25">
      <c r="A2" s="97" t="s">
        <v>117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5" customHeight="1">
      <c r="A3" s="91" t="s">
        <v>3</v>
      </c>
      <c r="B3" s="91" t="s">
        <v>118</v>
      </c>
      <c r="C3" s="94" t="s">
        <v>119</v>
      </c>
      <c r="D3" s="94" t="s">
        <v>6</v>
      </c>
      <c r="E3" s="100" t="s">
        <v>120</v>
      </c>
      <c r="F3" s="101"/>
      <c r="G3" s="94" t="s">
        <v>121</v>
      </c>
      <c r="H3" s="91" t="s">
        <v>122</v>
      </c>
      <c r="I3" s="91" t="s">
        <v>123</v>
      </c>
      <c r="J3" s="91" t="s">
        <v>124</v>
      </c>
      <c r="K3" s="91" t="s">
        <v>125</v>
      </c>
      <c r="L3" s="91" t="s">
        <v>126</v>
      </c>
      <c r="M3" s="91" t="s">
        <v>127</v>
      </c>
      <c r="N3" s="91" t="s">
        <v>128</v>
      </c>
      <c r="O3" s="91" t="s">
        <v>129</v>
      </c>
      <c r="P3" s="91" t="s">
        <v>130</v>
      </c>
      <c r="Q3" s="91" t="s">
        <v>131</v>
      </c>
      <c r="R3" s="91" t="s">
        <v>132</v>
      </c>
      <c r="S3" s="94" t="s">
        <v>133</v>
      </c>
      <c r="T3" s="94" t="s">
        <v>134</v>
      </c>
    </row>
    <row r="4" spans="1:20">
      <c r="A4" s="92"/>
      <c r="B4" s="93"/>
      <c r="C4" s="95"/>
      <c r="D4" s="95"/>
      <c r="E4" s="102"/>
      <c r="F4" s="103"/>
      <c r="G4" s="95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5"/>
      <c r="T4" s="95"/>
    </row>
    <row r="5" spans="1:20" ht="17.25" customHeight="1">
      <c r="A5" s="99"/>
      <c r="B5" s="14" t="s">
        <v>135</v>
      </c>
      <c r="C5" s="96"/>
      <c r="D5" s="96"/>
      <c r="E5" s="15" t="s">
        <v>136</v>
      </c>
      <c r="F5" s="15" t="s">
        <v>137</v>
      </c>
      <c r="G5" s="96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6"/>
      <c r="T5" s="96"/>
    </row>
    <row r="6" spans="1:20">
      <c r="A6" s="1"/>
      <c r="B6" s="16" t="s">
        <v>138</v>
      </c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>
      <c r="A7" s="1">
        <v>30501</v>
      </c>
      <c r="B7" s="16" t="s">
        <v>139</v>
      </c>
      <c r="C7" s="17">
        <v>2630000000</v>
      </c>
      <c r="D7" s="17">
        <v>0</v>
      </c>
      <c r="E7" s="17"/>
      <c r="F7" s="17">
        <v>86000000</v>
      </c>
      <c r="G7" s="17">
        <v>2544000000</v>
      </c>
      <c r="H7" s="18">
        <f t="shared" ref="H7:S7" si="0">SUM(H8:H17)</f>
        <v>144411693</v>
      </c>
      <c r="I7" s="18">
        <f t="shared" si="0"/>
        <v>164028767</v>
      </c>
      <c r="J7" s="18">
        <f t="shared" si="0"/>
        <v>131537634</v>
      </c>
      <c r="K7" s="18">
        <f t="shared" si="0"/>
        <v>151575769</v>
      </c>
      <c r="L7" s="18">
        <f t="shared" si="0"/>
        <v>147096335</v>
      </c>
      <c r="M7" s="18">
        <f t="shared" si="0"/>
        <v>147214019</v>
      </c>
      <c r="N7" s="18">
        <f t="shared" si="0"/>
        <v>206821344</v>
      </c>
      <c r="O7" s="18">
        <f t="shared" si="0"/>
        <v>148301860</v>
      </c>
      <c r="P7" s="18">
        <f t="shared" si="0"/>
        <v>149016110</v>
      </c>
      <c r="Q7" s="18">
        <f t="shared" si="0"/>
        <v>347916037</v>
      </c>
      <c r="R7" s="18">
        <f t="shared" si="0"/>
        <v>173351166</v>
      </c>
      <c r="S7" s="18">
        <f t="shared" si="0"/>
        <v>323122393</v>
      </c>
      <c r="T7" s="18">
        <f>SUM(T8:T17)</f>
        <v>2234393127</v>
      </c>
    </row>
    <row r="8" spans="1:20">
      <c r="A8" s="1">
        <v>30501180401</v>
      </c>
      <c r="B8" s="1" t="s">
        <v>140</v>
      </c>
      <c r="C8" s="19">
        <v>1900000000</v>
      </c>
      <c r="D8" s="20"/>
      <c r="E8" s="20"/>
      <c r="F8" s="19">
        <v>81000000</v>
      </c>
      <c r="G8" s="19">
        <v>1819000000</v>
      </c>
      <c r="H8" s="21">
        <v>121357837</v>
      </c>
      <c r="I8" s="21">
        <v>132705171</v>
      </c>
      <c r="J8" s="21">
        <v>114374566</v>
      </c>
      <c r="K8" s="21">
        <v>122328571</v>
      </c>
      <c r="L8" s="21">
        <v>122243515</v>
      </c>
      <c r="M8" s="21">
        <v>122072144</v>
      </c>
      <c r="N8" s="21">
        <v>120440195</v>
      </c>
      <c r="O8" s="21">
        <v>123250285</v>
      </c>
      <c r="P8" s="21">
        <v>124599322</v>
      </c>
      <c r="Q8" s="21">
        <f>124764579+195885982</f>
        <v>320650561</v>
      </c>
      <c r="R8" s="21">
        <v>142597438</v>
      </c>
      <c r="S8" s="19">
        <v>142623221</v>
      </c>
      <c r="T8" s="19">
        <f>SUM(H8:S8)</f>
        <v>1709242826</v>
      </c>
    </row>
    <row r="9" spans="1:20">
      <c r="A9" s="1">
        <v>30501180402</v>
      </c>
      <c r="B9" s="1" t="s">
        <v>141</v>
      </c>
      <c r="C9" s="19">
        <v>170000000</v>
      </c>
      <c r="D9" s="1"/>
      <c r="E9" s="19"/>
      <c r="F9" s="19"/>
      <c r="G9" s="19">
        <v>170000000</v>
      </c>
      <c r="H9" s="21"/>
      <c r="I9" s="21"/>
      <c r="J9" s="21">
        <v>0</v>
      </c>
      <c r="K9" s="21">
        <v>0</v>
      </c>
      <c r="L9" s="21">
        <v>0</v>
      </c>
      <c r="M9" s="21"/>
      <c r="N9" s="21"/>
      <c r="O9" s="21"/>
      <c r="P9" s="22"/>
      <c r="Q9" s="21">
        <v>0</v>
      </c>
      <c r="R9" s="21"/>
      <c r="S9" s="19">
        <v>152773699</v>
      </c>
      <c r="T9" s="19">
        <f t="shared" ref="T9:T29" si="1">SUM(H9:S9)</f>
        <v>152773699</v>
      </c>
    </row>
    <row r="10" spans="1:20">
      <c r="A10" s="1">
        <v>30501180403</v>
      </c>
      <c r="B10" s="1" t="s">
        <v>142</v>
      </c>
      <c r="C10" s="19">
        <v>90000000</v>
      </c>
      <c r="D10" s="1"/>
      <c r="E10" s="19"/>
      <c r="F10" s="19"/>
      <c r="G10" s="19">
        <v>90000000</v>
      </c>
      <c r="H10" s="21">
        <v>3098692</v>
      </c>
      <c r="I10" s="21">
        <v>7476820</v>
      </c>
      <c r="J10" s="21">
        <v>0</v>
      </c>
      <c r="K10" s="21">
        <v>3883612</v>
      </c>
      <c r="L10" s="21">
        <v>4627822</v>
      </c>
      <c r="M10" s="21">
        <v>4042061</v>
      </c>
      <c r="N10" s="21">
        <v>6437264</v>
      </c>
      <c r="O10" s="21">
        <v>7849091</v>
      </c>
      <c r="P10" s="21">
        <v>5931776</v>
      </c>
      <c r="Q10" s="21">
        <v>5413237</v>
      </c>
      <c r="R10" s="21">
        <v>5657671</v>
      </c>
      <c r="S10" s="19">
        <v>6504259</v>
      </c>
      <c r="T10" s="19">
        <f t="shared" si="1"/>
        <v>60922305</v>
      </c>
    </row>
    <row r="11" spans="1:20">
      <c r="A11" s="1">
        <v>30501180404</v>
      </c>
      <c r="B11" s="1" t="s">
        <v>143</v>
      </c>
      <c r="C11" s="19">
        <v>12000000</v>
      </c>
      <c r="D11" s="1"/>
      <c r="E11" s="19"/>
      <c r="F11" s="19"/>
      <c r="G11" s="19">
        <v>12000000</v>
      </c>
      <c r="H11" s="21">
        <v>1278613</v>
      </c>
      <c r="I11" s="21">
        <v>4118689</v>
      </c>
      <c r="J11" s="21">
        <v>0</v>
      </c>
      <c r="K11" s="21">
        <v>0</v>
      </c>
      <c r="L11" s="21">
        <v>0</v>
      </c>
      <c r="M11" s="21">
        <v>0</v>
      </c>
      <c r="N11" s="21"/>
      <c r="O11" s="21"/>
      <c r="P11" s="21"/>
      <c r="Q11" s="21">
        <v>0</v>
      </c>
      <c r="R11" s="22"/>
      <c r="S11" s="19">
        <v>0</v>
      </c>
      <c r="T11" s="19">
        <f t="shared" si="1"/>
        <v>5397302</v>
      </c>
    </row>
    <row r="12" spans="1:20">
      <c r="A12" s="1">
        <v>30501180405</v>
      </c>
      <c r="B12" s="1" t="s">
        <v>144</v>
      </c>
      <c r="C12" s="19">
        <v>29000000</v>
      </c>
      <c r="D12" s="1"/>
      <c r="E12" s="19"/>
      <c r="F12" s="19"/>
      <c r="G12" s="19">
        <v>29000000</v>
      </c>
      <c r="H12" s="21">
        <v>2034000</v>
      </c>
      <c r="I12" s="21">
        <v>2070160</v>
      </c>
      <c r="J12" s="21">
        <v>1830600</v>
      </c>
      <c r="K12" s="21">
        <v>1884840</v>
      </c>
      <c r="L12" s="21">
        <v>1785400</v>
      </c>
      <c r="M12" s="21">
        <v>1801220</v>
      </c>
      <c r="N12" s="21">
        <v>1884840</v>
      </c>
      <c r="O12" s="21">
        <v>1934560</v>
      </c>
      <c r="P12" s="21">
        <v>1878060</v>
      </c>
      <c r="Q12" s="21">
        <v>2034000</v>
      </c>
      <c r="R12" s="23">
        <v>67800</v>
      </c>
      <c r="S12" s="19">
        <v>135600</v>
      </c>
      <c r="T12" s="19">
        <f t="shared" si="1"/>
        <v>19341080</v>
      </c>
    </row>
    <row r="13" spans="1:20">
      <c r="A13" s="1">
        <v>30501180406</v>
      </c>
      <c r="B13" s="1" t="s">
        <v>145</v>
      </c>
      <c r="C13" s="19">
        <v>10000000</v>
      </c>
      <c r="D13" s="1"/>
      <c r="E13" s="19"/>
      <c r="F13" s="19"/>
      <c r="G13" s="19">
        <v>10000000</v>
      </c>
      <c r="H13" s="21"/>
      <c r="I13" s="21"/>
      <c r="J13" s="21">
        <v>0</v>
      </c>
      <c r="K13" s="21">
        <v>0</v>
      </c>
      <c r="L13" s="21"/>
      <c r="M13" s="21">
        <v>0</v>
      </c>
      <c r="N13" s="21"/>
      <c r="O13" s="21"/>
      <c r="P13" s="21"/>
      <c r="Q13" s="21"/>
      <c r="R13" s="21">
        <v>8508462</v>
      </c>
      <c r="S13" s="19">
        <v>0</v>
      </c>
      <c r="T13" s="19">
        <f t="shared" si="1"/>
        <v>8508462</v>
      </c>
    </row>
    <row r="14" spans="1:20">
      <c r="A14" s="1">
        <v>30501180407</v>
      </c>
      <c r="B14" s="1" t="s">
        <v>146</v>
      </c>
      <c r="C14" s="19">
        <v>1000000</v>
      </c>
      <c r="D14" s="1"/>
      <c r="E14" s="19"/>
      <c r="F14" s="19"/>
      <c r="G14" s="19">
        <v>1000000</v>
      </c>
      <c r="H14" s="21"/>
      <c r="I14" s="21"/>
      <c r="J14" s="21">
        <v>0</v>
      </c>
      <c r="K14" s="21">
        <v>0</v>
      </c>
      <c r="L14" s="21"/>
      <c r="M14" s="21">
        <v>0</v>
      </c>
      <c r="N14" s="21"/>
      <c r="O14" s="21"/>
      <c r="P14" s="21"/>
      <c r="Q14" s="21"/>
      <c r="R14" s="21"/>
      <c r="S14" s="19">
        <v>0</v>
      </c>
      <c r="T14" s="19">
        <f t="shared" si="1"/>
        <v>0</v>
      </c>
    </row>
    <row r="15" spans="1:20">
      <c r="A15" s="1">
        <v>30501180408</v>
      </c>
      <c r="B15" s="1" t="s">
        <v>147</v>
      </c>
      <c r="C15" s="19">
        <v>250000000</v>
      </c>
      <c r="D15" s="1"/>
      <c r="E15" s="19"/>
      <c r="F15" s="19"/>
      <c r="G15" s="19">
        <v>250000000</v>
      </c>
      <c r="H15" s="21">
        <v>14233851</v>
      </c>
      <c r="I15" s="21">
        <v>12110251</v>
      </c>
      <c r="J15" s="21">
        <v>12844834</v>
      </c>
      <c r="K15" s="21">
        <v>18865316</v>
      </c>
      <c r="L15" s="21">
        <v>15815838</v>
      </c>
      <c r="M15" s="21">
        <v>15190351</v>
      </c>
      <c r="N15" s="21">
        <v>17483860</v>
      </c>
      <c r="O15" s="21">
        <v>15267924</v>
      </c>
      <c r="P15" s="21">
        <v>12746505</v>
      </c>
      <c r="Q15" s="21">
        <v>14008371</v>
      </c>
      <c r="R15" s="21">
        <v>13789484</v>
      </c>
      <c r="S15" s="19">
        <v>16487121</v>
      </c>
      <c r="T15" s="19">
        <f t="shared" si="1"/>
        <v>178843706</v>
      </c>
    </row>
    <row r="16" spans="1:20">
      <c r="A16" s="1">
        <v>30501180409</v>
      </c>
      <c r="B16" s="1" t="s">
        <v>148</v>
      </c>
      <c r="C16" s="19">
        <v>78000000</v>
      </c>
      <c r="D16" s="1"/>
      <c r="E16" s="19"/>
      <c r="F16" s="19">
        <v>5000000</v>
      </c>
      <c r="G16" s="19">
        <v>73000000</v>
      </c>
      <c r="H16" s="21"/>
      <c r="I16" s="21"/>
      <c r="J16" s="21">
        <v>0</v>
      </c>
      <c r="K16" s="21">
        <v>0</v>
      </c>
      <c r="L16" s="21"/>
      <c r="M16" s="21">
        <v>0</v>
      </c>
      <c r="N16" s="21">
        <v>57176255</v>
      </c>
      <c r="O16" s="21"/>
      <c r="P16" s="21"/>
      <c r="Q16" s="21"/>
      <c r="R16" s="21"/>
      <c r="S16" s="19">
        <v>0</v>
      </c>
      <c r="T16" s="19">
        <f t="shared" si="1"/>
        <v>57176255</v>
      </c>
    </row>
    <row r="17" spans="1:20">
      <c r="A17" s="1">
        <v>30501180412</v>
      </c>
      <c r="B17" s="1" t="s">
        <v>149</v>
      </c>
      <c r="C17" s="19">
        <v>90000000</v>
      </c>
      <c r="D17" s="1"/>
      <c r="E17" s="19"/>
      <c r="F17" s="19"/>
      <c r="G17" s="19">
        <v>90000000</v>
      </c>
      <c r="H17" s="21">
        <v>2408700</v>
      </c>
      <c r="I17" s="21">
        <v>5547676</v>
      </c>
      <c r="J17" s="21">
        <v>2487634</v>
      </c>
      <c r="K17" s="21">
        <v>4613430</v>
      </c>
      <c r="L17" s="21">
        <v>2623760</v>
      </c>
      <c r="M17" s="21">
        <v>4108243</v>
      </c>
      <c r="N17" s="21">
        <v>3398930</v>
      </c>
      <c r="O17" s="21"/>
      <c r="P17" s="21">
        <v>3860447</v>
      </c>
      <c r="Q17" s="21">
        <v>5809868</v>
      </c>
      <c r="R17" s="21">
        <v>2730311</v>
      </c>
      <c r="S17" s="19">
        <v>4598493</v>
      </c>
      <c r="T17" s="19">
        <f t="shared" si="1"/>
        <v>42187492</v>
      </c>
    </row>
    <row r="18" spans="1:20">
      <c r="A18" s="1"/>
      <c r="B18" s="16" t="s">
        <v>150</v>
      </c>
      <c r="C18" s="17">
        <v>573000000</v>
      </c>
      <c r="D18" s="17">
        <v>0</v>
      </c>
      <c r="E18" s="17">
        <v>91000000</v>
      </c>
      <c r="F18" s="17">
        <v>0</v>
      </c>
      <c r="G18" s="17">
        <v>664000000</v>
      </c>
      <c r="H18" s="18">
        <f t="shared" ref="H18:Q18" si="2">SUM(H19:H21)</f>
        <v>41713314</v>
      </c>
      <c r="I18" s="18">
        <f t="shared" si="2"/>
        <v>22962228</v>
      </c>
      <c r="J18" s="18">
        <f t="shared" si="2"/>
        <v>9914401</v>
      </c>
      <c r="K18" s="18">
        <f t="shared" si="2"/>
        <v>42879773</v>
      </c>
      <c r="L18" s="18">
        <f t="shared" si="2"/>
        <v>103819366</v>
      </c>
      <c r="M18" s="18">
        <f t="shared" si="2"/>
        <v>30533525</v>
      </c>
      <c r="N18" s="18">
        <f t="shared" si="2"/>
        <v>27919826</v>
      </c>
      <c r="O18" s="18">
        <f t="shared" si="2"/>
        <v>7025773</v>
      </c>
      <c r="P18" s="18">
        <f t="shared" si="2"/>
        <v>36376413</v>
      </c>
      <c r="Q18" s="18">
        <f t="shared" si="2"/>
        <v>28122322</v>
      </c>
      <c r="R18" s="18">
        <f>SUM(R19:R21)</f>
        <v>30876356</v>
      </c>
      <c r="S18" s="18">
        <f>SUM(S19:S21)</f>
        <v>31968920</v>
      </c>
      <c r="T18" s="18">
        <f>SUM(H18:S18)</f>
        <v>414112217</v>
      </c>
    </row>
    <row r="19" spans="1:20">
      <c r="A19" s="1">
        <v>30501180413</v>
      </c>
      <c r="B19" s="1" t="s">
        <v>151</v>
      </c>
      <c r="C19" s="19">
        <v>170000000</v>
      </c>
      <c r="D19" s="24"/>
      <c r="E19" s="19">
        <v>91000000</v>
      </c>
      <c r="F19" s="24"/>
      <c r="G19" s="19">
        <v>261000000</v>
      </c>
      <c r="H19" s="21">
        <v>21800000</v>
      </c>
      <c r="I19" s="21">
        <v>15800000</v>
      </c>
      <c r="J19" s="21">
        <v>3800</v>
      </c>
      <c r="K19" s="21">
        <v>28500000</v>
      </c>
      <c r="L19" s="21">
        <v>79494666</v>
      </c>
      <c r="M19" s="21">
        <v>14499999</v>
      </c>
      <c r="N19" s="22"/>
      <c r="O19" s="22"/>
      <c r="P19" s="25">
        <v>14100000</v>
      </c>
      <c r="Q19" s="25">
        <v>22800000</v>
      </c>
      <c r="R19" s="25">
        <v>11830000</v>
      </c>
      <c r="S19" s="19">
        <v>3000000</v>
      </c>
      <c r="T19" s="19">
        <f>SUM(H19:S19)</f>
        <v>211828465</v>
      </c>
    </row>
    <row r="20" spans="1:20">
      <c r="A20" s="1">
        <v>30501180414</v>
      </c>
      <c r="B20" s="1" t="s">
        <v>152</v>
      </c>
      <c r="C20" s="19">
        <v>400000000</v>
      </c>
      <c r="D20" s="1"/>
      <c r="E20" s="19"/>
      <c r="F20" s="19"/>
      <c r="G20" s="19">
        <v>400000000</v>
      </c>
      <c r="H20" s="21">
        <v>19913314</v>
      </c>
      <c r="I20" s="21">
        <v>7162228</v>
      </c>
      <c r="J20" s="21">
        <v>9910601</v>
      </c>
      <c r="K20" s="21">
        <v>14379773</v>
      </c>
      <c r="L20" s="21">
        <v>24324700</v>
      </c>
      <c r="M20" s="21">
        <v>16033526</v>
      </c>
      <c r="N20" s="21">
        <v>27919826</v>
      </c>
      <c r="O20" s="21">
        <v>7025773</v>
      </c>
      <c r="P20" s="21">
        <v>22276413</v>
      </c>
      <c r="Q20" s="21">
        <v>5322322</v>
      </c>
      <c r="R20" s="21">
        <v>19046356</v>
      </c>
      <c r="S20" s="19">
        <v>28968920</v>
      </c>
      <c r="T20" s="19">
        <f>SUM(H20:S20)</f>
        <v>202283752</v>
      </c>
    </row>
    <row r="21" spans="1:20">
      <c r="A21" s="1">
        <v>30501180415</v>
      </c>
      <c r="B21" s="1" t="s">
        <v>153</v>
      </c>
      <c r="C21" s="19">
        <v>3000000</v>
      </c>
      <c r="D21" s="1"/>
      <c r="E21" s="19"/>
      <c r="F21" s="19"/>
      <c r="G21" s="19">
        <v>3000000</v>
      </c>
      <c r="H21" s="21"/>
      <c r="I21" s="21"/>
      <c r="J21" s="21">
        <v>0</v>
      </c>
      <c r="K21" s="21">
        <v>0</v>
      </c>
      <c r="L21" s="21"/>
      <c r="M21" s="21">
        <v>0</v>
      </c>
      <c r="N21" s="21"/>
      <c r="O21" s="21"/>
      <c r="P21" s="21"/>
      <c r="Q21" s="21"/>
      <c r="R21" s="21"/>
      <c r="S21" s="19"/>
      <c r="T21" s="19">
        <f t="shared" si="1"/>
        <v>0</v>
      </c>
    </row>
    <row r="22" spans="1:20">
      <c r="A22" s="1"/>
      <c r="B22" s="16" t="s">
        <v>154</v>
      </c>
      <c r="C22" s="17">
        <v>86000000</v>
      </c>
      <c r="D22" s="17">
        <v>0</v>
      </c>
      <c r="E22" s="17">
        <v>0</v>
      </c>
      <c r="F22" s="17">
        <v>0</v>
      </c>
      <c r="G22" s="17">
        <v>86000000</v>
      </c>
      <c r="H22" s="18">
        <v>6651100</v>
      </c>
      <c r="I22" s="18">
        <v>5628400</v>
      </c>
      <c r="J22" s="18">
        <v>5630600</v>
      </c>
      <c r="K22" s="18">
        <v>5879900</v>
      </c>
      <c r="L22" s="18">
        <v>6246100</v>
      </c>
      <c r="M22" s="18">
        <v>6160600</v>
      </c>
      <c r="N22" s="18">
        <v>6146600</v>
      </c>
      <c r="O22" s="18">
        <v>6432100</v>
      </c>
      <c r="P22" s="18">
        <v>6258745</v>
      </c>
      <c r="Q22" s="18">
        <f>SUM(Q23)</f>
        <v>6105300</v>
      </c>
      <c r="R22" s="18">
        <f>SUM(R23:R23)</f>
        <v>7482400</v>
      </c>
      <c r="S22" s="18">
        <f t="shared" ref="S22:T22" si="3">SUM(S23:S23)</f>
        <v>8009700</v>
      </c>
      <c r="T22" s="18">
        <f t="shared" si="3"/>
        <v>76631545</v>
      </c>
    </row>
    <row r="23" spans="1:20">
      <c r="A23" s="1">
        <v>30501180416</v>
      </c>
      <c r="B23" s="1" t="s">
        <v>155</v>
      </c>
      <c r="C23" s="19">
        <v>86000000</v>
      </c>
      <c r="D23" s="24"/>
      <c r="E23" s="24"/>
      <c r="F23" s="24"/>
      <c r="G23" s="19">
        <v>86000000</v>
      </c>
      <c r="H23" s="21">
        <v>6651100</v>
      </c>
      <c r="I23" s="21">
        <v>5628400</v>
      </c>
      <c r="J23" s="21">
        <v>5630600</v>
      </c>
      <c r="K23" s="21">
        <v>5879900</v>
      </c>
      <c r="L23" s="21">
        <v>6246100</v>
      </c>
      <c r="M23" s="21">
        <v>6160600</v>
      </c>
      <c r="N23" s="26">
        <v>6146600</v>
      </c>
      <c r="O23" s="26">
        <v>6432100</v>
      </c>
      <c r="P23" s="26">
        <v>6258745</v>
      </c>
      <c r="Q23" s="21">
        <v>6105300</v>
      </c>
      <c r="R23" s="26">
        <v>7482400</v>
      </c>
      <c r="S23" s="19">
        <v>8009700</v>
      </c>
      <c r="T23" s="19">
        <f>SUM(H23:S23)</f>
        <v>76631545</v>
      </c>
    </row>
    <row r="24" spans="1:20">
      <c r="A24" s="1"/>
      <c r="B24" s="16" t="s">
        <v>154</v>
      </c>
      <c r="C24" s="17">
        <v>549000000</v>
      </c>
      <c r="D24" s="17">
        <v>0</v>
      </c>
      <c r="E24" s="17">
        <v>0</v>
      </c>
      <c r="F24" s="17">
        <v>0</v>
      </c>
      <c r="G24" s="17">
        <v>549000000</v>
      </c>
      <c r="H24" s="18">
        <f>SUM(H25:H29)</f>
        <v>47788671</v>
      </c>
      <c r="I24" s="18">
        <f t="shared" ref="I24:T24" si="4">SUM(I25:I29)</f>
        <v>37969012</v>
      </c>
      <c r="J24" s="18">
        <f t="shared" si="4"/>
        <v>37099956</v>
      </c>
      <c r="K24" s="18">
        <f t="shared" si="4"/>
        <v>46274116</v>
      </c>
      <c r="L24" s="18">
        <f t="shared" si="4"/>
        <v>42394326</v>
      </c>
      <c r="M24" s="18">
        <f t="shared" si="4"/>
        <v>41307550</v>
      </c>
      <c r="N24" s="18">
        <f t="shared" si="4"/>
        <v>42275824</v>
      </c>
      <c r="O24" s="18">
        <f t="shared" si="4"/>
        <v>42883924</v>
      </c>
      <c r="P24" s="18">
        <f t="shared" si="4"/>
        <v>42721109</v>
      </c>
      <c r="Q24" s="18">
        <f t="shared" si="4"/>
        <v>41886215</v>
      </c>
      <c r="R24" s="18">
        <f t="shared" si="4"/>
        <v>69964769</v>
      </c>
      <c r="S24" s="18">
        <f t="shared" si="4"/>
        <v>33315147</v>
      </c>
      <c r="T24" s="18">
        <f t="shared" si="4"/>
        <v>525880619</v>
      </c>
    </row>
    <row r="25" spans="1:20">
      <c r="A25" s="1">
        <v>30501180417</v>
      </c>
      <c r="B25" s="1" t="s">
        <v>156</v>
      </c>
      <c r="C25" s="19">
        <v>70000000</v>
      </c>
      <c r="D25" s="24"/>
      <c r="E25" s="24"/>
      <c r="F25" s="24"/>
      <c r="G25" s="19">
        <v>70000000</v>
      </c>
      <c r="H25" s="21">
        <v>4987500</v>
      </c>
      <c r="I25" s="21">
        <v>4220900</v>
      </c>
      <c r="J25" s="21">
        <v>4222400</v>
      </c>
      <c r="K25" s="27">
        <v>11466374</v>
      </c>
      <c r="L25" s="27">
        <v>4684100</v>
      </c>
      <c r="M25" s="27">
        <v>4619700</v>
      </c>
      <c r="N25" s="26">
        <v>4609400</v>
      </c>
      <c r="O25" s="26">
        <v>4756000</v>
      </c>
      <c r="P25" s="26">
        <v>4789523</v>
      </c>
      <c r="Q25" s="21">
        <v>4578200</v>
      </c>
      <c r="R25" s="26">
        <v>5611300</v>
      </c>
      <c r="S25" s="19">
        <f>6007300+1500000</f>
        <v>7507300</v>
      </c>
      <c r="T25" s="19">
        <f t="shared" si="1"/>
        <v>66052697</v>
      </c>
    </row>
    <row r="26" spans="1:20">
      <c r="A26" s="1">
        <v>30501180418</v>
      </c>
      <c r="B26" s="1" t="s">
        <v>157</v>
      </c>
      <c r="C26" s="19">
        <v>43000000</v>
      </c>
      <c r="D26" s="1"/>
      <c r="E26" s="19"/>
      <c r="F26" s="19"/>
      <c r="G26" s="19">
        <v>43000000</v>
      </c>
      <c r="H26" s="21">
        <v>831200</v>
      </c>
      <c r="I26" s="21">
        <v>703500</v>
      </c>
      <c r="J26" s="21">
        <v>703500</v>
      </c>
      <c r="K26" s="27">
        <v>735000</v>
      </c>
      <c r="L26" s="27">
        <v>780700</v>
      </c>
      <c r="M26" s="27">
        <v>769800</v>
      </c>
      <c r="N26" s="26">
        <v>768100</v>
      </c>
      <c r="O26" s="26">
        <v>792600</v>
      </c>
      <c r="P26" s="26">
        <v>776845</v>
      </c>
      <c r="Q26" s="21">
        <v>762900</v>
      </c>
      <c r="R26" s="26">
        <f>935000+19000000</f>
        <v>19935000</v>
      </c>
      <c r="S26" s="19">
        <v>1001200</v>
      </c>
      <c r="T26" s="19">
        <f t="shared" si="1"/>
        <v>28560345</v>
      </c>
    </row>
    <row r="27" spans="1:20">
      <c r="A27" s="1">
        <v>30501180419</v>
      </c>
      <c r="B27" s="1" t="s">
        <v>158</v>
      </c>
      <c r="C27" s="19">
        <v>13000000</v>
      </c>
      <c r="D27" s="1"/>
      <c r="E27" s="19"/>
      <c r="F27" s="19"/>
      <c r="G27" s="19">
        <v>13000000</v>
      </c>
      <c r="H27" s="21">
        <v>831200</v>
      </c>
      <c r="I27" s="21">
        <v>703500</v>
      </c>
      <c r="J27" s="21">
        <v>703500</v>
      </c>
      <c r="K27" s="27">
        <v>735000</v>
      </c>
      <c r="L27" s="27">
        <v>780700</v>
      </c>
      <c r="M27" s="27">
        <v>769800</v>
      </c>
      <c r="N27" s="26">
        <v>768100</v>
      </c>
      <c r="O27" s="26">
        <v>792600</v>
      </c>
      <c r="P27" s="26">
        <v>776845</v>
      </c>
      <c r="Q27" s="21">
        <v>762900</v>
      </c>
      <c r="R27" s="26">
        <v>935000</v>
      </c>
      <c r="S27" s="19">
        <v>1001200</v>
      </c>
      <c r="T27" s="19">
        <f t="shared" si="1"/>
        <v>9560345</v>
      </c>
    </row>
    <row r="28" spans="1:20">
      <c r="A28" s="1">
        <v>30501180420</v>
      </c>
      <c r="B28" s="1" t="s">
        <v>159</v>
      </c>
      <c r="C28" s="19">
        <v>18000000</v>
      </c>
      <c r="D28" s="1"/>
      <c r="E28" s="19"/>
      <c r="F28" s="19"/>
      <c r="G28" s="19">
        <v>18000000</v>
      </c>
      <c r="H28" s="21">
        <v>1663000</v>
      </c>
      <c r="I28" s="21">
        <v>1407600</v>
      </c>
      <c r="J28" s="21">
        <v>1408100</v>
      </c>
      <c r="K28" s="27">
        <v>1470300</v>
      </c>
      <c r="L28" s="27">
        <v>1562300</v>
      </c>
      <c r="M28" s="27">
        <v>1540400</v>
      </c>
      <c r="N28" s="26">
        <v>1536900</v>
      </c>
      <c r="O28" s="26">
        <v>1586000</v>
      </c>
      <c r="P28" s="26">
        <v>1592632</v>
      </c>
      <c r="Q28" s="21">
        <v>1527000</v>
      </c>
      <c r="R28" s="26">
        <v>1870600</v>
      </c>
      <c r="S28" s="19">
        <f>8600+3600+2002600-1500000</f>
        <v>514800</v>
      </c>
      <c r="T28" s="19">
        <f t="shared" si="1"/>
        <v>17679632</v>
      </c>
    </row>
    <row r="29" spans="1:20">
      <c r="A29" s="1">
        <v>30501180421</v>
      </c>
      <c r="B29" s="1" t="s">
        <v>160</v>
      </c>
      <c r="C29" s="19">
        <v>405000000</v>
      </c>
      <c r="D29" s="1"/>
      <c r="E29" s="19"/>
      <c r="F29" s="19"/>
      <c r="G29" s="19">
        <v>405000000</v>
      </c>
      <c r="H29" s="21">
        <v>39475771</v>
      </c>
      <c r="I29" s="21">
        <v>30933512</v>
      </c>
      <c r="J29" s="21">
        <v>30062456</v>
      </c>
      <c r="K29" s="27">
        <v>31867442</v>
      </c>
      <c r="L29" s="27">
        <v>34586526</v>
      </c>
      <c r="M29" s="27">
        <v>33607850</v>
      </c>
      <c r="N29" s="26">
        <v>34593324</v>
      </c>
      <c r="O29" s="26">
        <v>34956724</v>
      </c>
      <c r="P29" s="26">
        <v>34785264</v>
      </c>
      <c r="Q29" s="21">
        <v>34255215</v>
      </c>
      <c r="R29" s="26">
        <v>41612869</v>
      </c>
      <c r="S29" s="19">
        <f>42290647-19000000</f>
        <v>23290647</v>
      </c>
      <c r="T29" s="19">
        <f t="shared" si="1"/>
        <v>404027600</v>
      </c>
    </row>
    <row r="30" spans="1:20">
      <c r="A30" s="1">
        <v>30502</v>
      </c>
      <c r="B30" s="16" t="s">
        <v>161</v>
      </c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>
      <c r="A31" s="1"/>
      <c r="B31" s="16" t="s">
        <v>162</v>
      </c>
      <c r="C31" s="17">
        <v>301000000</v>
      </c>
      <c r="D31" s="17">
        <v>0</v>
      </c>
      <c r="E31" s="17">
        <v>0</v>
      </c>
      <c r="F31" s="17">
        <v>0</v>
      </c>
      <c r="G31" s="17">
        <v>301000000</v>
      </c>
      <c r="H31" s="18">
        <f>SUM(H32:H36)</f>
        <v>15800000</v>
      </c>
      <c r="I31" s="18">
        <f t="shared" ref="I31:T31" si="5">SUM(I32:I36)</f>
        <v>23050000</v>
      </c>
      <c r="J31" s="18">
        <f t="shared" si="5"/>
        <v>101893560</v>
      </c>
      <c r="K31" s="18">
        <f t="shared" si="5"/>
        <v>5800000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 t="shared" si="5"/>
        <v>0</v>
      </c>
      <c r="P31" s="18">
        <f t="shared" si="5"/>
        <v>30170740</v>
      </c>
      <c r="Q31" s="18">
        <f t="shared" si="5"/>
        <v>13495141</v>
      </c>
      <c r="R31" s="18">
        <f t="shared" si="5"/>
        <v>25000000</v>
      </c>
      <c r="S31" s="18">
        <f t="shared" si="5"/>
        <v>0</v>
      </c>
      <c r="T31" s="18">
        <f t="shared" si="5"/>
        <v>215209441</v>
      </c>
    </row>
    <row r="32" spans="1:20">
      <c r="A32" s="1">
        <v>30502180401</v>
      </c>
      <c r="B32" s="1" t="s">
        <v>163</v>
      </c>
      <c r="C32" s="19">
        <v>35000000</v>
      </c>
      <c r="D32" s="24"/>
      <c r="E32" s="24"/>
      <c r="F32" s="24"/>
      <c r="G32" s="19">
        <v>35000000</v>
      </c>
      <c r="H32" s="21"/>
      <c r="I32" s="21"/>
      <c r="J32" s="21">
        <v>0</v>
      </c>
      <c r="K32" s="21">
        <v>0</v>
      </c>
      <c r="L32" s="21"/>
      <c r="M32" s="21">
        <v>0</v>
      </c>
      <c r="N32" s="21"/>
      <c r="O32" s="21"/>
      <c r="P32" s="21"/>
      <c r="Q32" s="22"/>
      <c r="R32" s="22"/>
      <c r="S32" s="22"/>
      <c r="T32" s="19">
        <f t="shared" ref="T32:T46" si="6">SUM(H32:S32)</f>
        <v>0</v>
      </c>
    </row>
    <row r="33" spans="1:20">
      <c r="A33" s="1">
        <v>30502180402</v>
      </c>
      <c r="B33" s="1" t="s">
        <v>164</v>
      </c>
      <c r="C33" s="19">
        <v>235000000</v>
      </c>
      <c r="D33" s="1"/>
      <c r="E33" s="19"/>
      <c r="F33" s="19"/>
      <c r="G33" s="19">
        <v>235000000</v>
      </c>
      <c r="H33" s="21">
        <v>15800000</v>
      </c>
      <c r="I33" s="21">
        <v>23050000</v>
      </c>
      <c r="J33" s="21">
        <v>87893560</v>
      </c>
      <c r="K33" s="21">
        <v>0</v>
      </c>
      <c r="L33" s="21"/>
      <c r="M33" s="21">
        <v>0</v>
      </c>
      <c r="N33" s="21"/>
      <c r="O33" s="21"/>
      <c r="P33" s="21">
        <v>30170740</v>
      </c>
      <c r="Q33" s="21">
        <v>13495141</v>
      </c>
      <c r="R33" s="21">
        <v>25000000</v>
      </c>
      <c r="S33" s="21"/>
      <c r="T33" s="19">
        <f t="shared" si="6"/>
        <v>195409441</v>
      </c>
    </row>
    <row r="34" spans="1:20">
      <c r="A34" s="1">
        <v>30502180403</v>
      </c>
      <c r="B34" s="1" t="s">
        <v>165</v>
      </c>
      <c r="C34" s="19">
        <v>13000000</v>
      </c>
      <c r="D34" s="1"/>
      <c r="E34" s="19"/>
      <c r="F34" s="19"/>
      <c r="G34" s="19">
        <v>13000000</v>
      </c>
      <c r="H34" s="21"/>
      <c r="I34" s="21"/>
      <c r="J34" s="21">
        <v>0</v>
      </c>
      <c r="K34" s="21">
        <v>5800000</v>
      </c>
      <c r="L34" s="21"/>
      <c r="M34" s="21">
        <v>0</v>
      </c>
      <c r="N34" s="21"/>
      <c r="O34" s="21"/>
      <c r="P34" s="21"/>
      <c r="Q34" s="21"/>
      <c r="R34" s="21"/>
      <c r="S34" s="21"/>
      <c r="T34" s="19">
        <f t="shared" si="6"/>
        <v>5800000</v>
      </c>
    </row>
    <row r="35" spans="1:20">
      <c r="A35" s="1">
        <v>30502180404</v>
      </c>
      <c r="B35" s="1" t="s">
        <v>166</v>
      </c>
      <c r="C35" s="19">
        <v>3000000</v>
      </c>
      <c r="D35" s="1"/>
      <c r="E35" s="19"/>
      <c r="F35" s="19"/>
      <c r="G35" s="19">
        <v>3000000</v>
      </c>
      <c r="H35" s="21"/>
      <c r="I35" s="21"/>
      <c r="J35" s="21">
        <v>0</v>
      </c>
      <c r="K35" s="21">
        <v>0</v>
      </c>
      <c r="L35" s="21"/>
      <c r="M35" s="21">
        <v>0</v>
      </c>
      <c r="N35" s="21"/>
      <c r="O35" s="21"/>
      <c r="P35" s="21"/>
      <c r="Q35" s="21"/>
      <c r="R35" s="21"/>
      <c r="S35" s="21"/>
      <c r="T35" s="19">
        <f t="shared" si="6"/>
        <v>0</v>
      </c>
    </row>
    <row r="36" spans="1:20">
      <c r="A36" s="1">
        <v>30502180405</v>
      </c>
      <c r="B36" s="1" t="s">
        <v>167</v>
      </c>
      <c r="C36" s="19">
        <v>15000000</v>
      </c>
      <c r="D36" s="1"/>
      <c r="E36" s="19"/>
      <c r="F36" s="19"/>
      <c r="G36" s="19">
        <v>15000000</v>
      </c>
      <c r="H36" s="21"/>
      <c r="I36" s="21"/>
      <c r="J36" s="21">
        <v>14000000</v>
      </c>
      <c r="K36" s="21">
        <v>0</v>
      </c>
      <c r="L36" s="21"/>
      <c r="M36" s="21">
        <v>0</v>
      </c>
      <c r="N36" s="21"/>
      <c r="O36" s="21"/>
      <c r="P36" s="21"/>
      <c r="Q36" s="21"/>
      <c r="R36" s="21"/>
      <c r="S36" s="21"/>
      <c r="T36" s="19">
        <f t="shared" si="6"/>
        <v>14000000</v>
      </c>
    </row>
    <row r="37" spans="1:20">
      <c r="A37" s="1"/>
      <c r="B37" s="16" t="s">
        <v>168</v>
      </c>
      <c r="C37" s="17">
        <v>420000000</v>
      </c>
      <c r="D37" s="17">
        <v>0</v>
      </c>
      <c r="E37" s="17">
        <v>15800000</v>
      </c>
      <c r="F37" s="17">
        <v>15000000</v>
      </c>
      <c r="G37" s="17">
        <v>420800000</v>
      </c>
      <c r="H37" s="18">
        <f>SUM(H38:H46)</f>
        <v>27229650</v>
      </c>
      <c r="I37" s="18">
        <f t="shared" ref="I37:T37" si="7">SUM(I38:I46)</f>
        <v>14492284</v>
      </c>
      <c r="J37" s="18">
        <f t="shared" si="7"/>
        <v>44456690</v>
      </c>
      <c r="K37" s="18">
        <f t="shared" si="7"/>
        <v>15910855</v>
      </c>
      <c r="L37" s="18">
        <f t="shared" si="7"/>
        <v>37473177</v>
      </c>
      <c r="M37" s="18">
        <f t="shared" si="7"/>
        <v>17872860</v>
      </c>
      <c r="N37" s="18">
        <f t="shared" si="7"/>
        <v>32683153</v>
      </c>
      <c r="O37" s="18">
        <f t="shared" si="7"/>
        <v>17754492</v>
      </c>
      <c r="P37" s="18">
        <f t="shared" si="7"/>
        <v>13014920</v>
      </c>
      <c r="Q37" s="18">
        <f t="shared" si="7"/>
        <v>36938570</v>
      </c>
      <c r="R37" s="18">
        <f t="shared" si="7"/>
        <v>17823381</v>
      </c>
      <c r="S37" s="18">
        <f t="shared" si="7"/>
        <v>21913508</v>
      </c>
      <c r="T37" s="18">
        <f t="shared" si="7"/>
        <v>297563540</v>
      </c>
    </row>
    <row r="38" spans="1:20">
      <c r="A38" s="1">
        <v>30502180406</v>
      </c>
      <c r="B38" s="1" t="s">
        <v>169</v>
      </c>
      <c r="C38" s="19">
        <v>36000000</v>
      </c>
      <c r="D38" s="24"/>
      <c r="E38" s="24"/>
      <c r="F38" s="24"/>
      <c r="G38" s="19">
        <v>36000000</v>
      </c>
      <c r="H38" s="21">
        <v>2108524</v>
      </c>
      <c r="I38" s="21">
        <v>2069199</v>
      </c>
      <c r="J38" s="21">
        <v>11069199</v>
      </c>
      <c r="K38" s="21">
        <v>2069199</v>
      </c>
      <c r="L38" s="21">
        <v>2069199</v>
      </c>
      <c r="M38" s="21">
        <v>2069307</v>
      </c>
      <c r="N38" s="21">
        <v>1862280</v>
      </c>
      <c r="O38" s="21">
        <v>2069199</v>
      </c>
      <c r="P38" s="21">
        <v>2069199</v>
      </c>
      <c r="Q38" s="21">
        <v>2069199</v>
      </c>
      <c r="R38" s="21">
        <v>2069199</v>
      </c>
      <c r="S38" s="19">
        <v>2069199</v>
      </c>
      <c r="T38" s="19">
        <f t="shared" si="6"/>
        <v>33662902</v>
      </c>
    </row>
    <row r="39" spans="1:20">
      <c r="A39" s="1">
        <v>30502180407</v>
      </c>
      <c r="B39" s="1" t="s">
        <v>170</v>
      </c>
      <c r="C39" s="19">
        <v>60000000</v>
      </c>
      <c r="D39" s="1"/>
      <c r="E39" s="19">
        <v>15800000</v>
      </c>
      <c r="F39" s="19"/>
      <c r="G39" s="19">
        <v>75800000</v>
      </c>
      <c r="H39" s="21"/>
      <c r="I39" s="21">
        <v>0</v>
      </c>
      <c r="J39" s="21">
        <v>10500000</v>
      </c>
      <c r="K39" s="21">
        <v>0</v>
      </c>
      <c r="L39" s="21">
        <v>31600000</v>
      </c>
      <c r="M39" s="21">
        <v>0</v>
      </c>
      <c r="N39" s="21"/>
      <c r="O39" s="21"/>
      <c r="P39" s="21"/>
      <c r="Q39" s="21">
        <v>25000000</v>
      </c>
      <c r="R39" s="21"/>
      <c r="S39" s="19"/>
      <c r="T39" s="19">
        <f t="shared" si="6"/>
        <v>67100000</v>
      </c>
    </row>
    <row r="40" spans="1:20">
      <c r="A40" s="1">
        <v>30502180408</v>
      </c>
      <c r="B40" s="1" t="s">
        <v>171</v>
      </c>
      <c r="C40" s="19">
        <v>27000000</v>
      </c>
      <c r="D40" s="1"/>
      <c r="E40" s="19"/>
      <c r="F40" s="19"/>
      <c r="G40" s="19">
        <v>27000000</v>
      </c>
      <c r="H40" s="21">
        <v>6350000</v>
      </c>
      <c r="I40" s="21"/>
      <c r="J40" s="21">
        <v>5200000</v>
      </c>
      <c r="K40" s="21">
        <v>0</v>
      </c>
      <c r="L40" s="21"/>
      <c r="M40" s="21">
        <v>0</v>
      </c>
      <c r="N40" s="21"/>
      <c r="O40" s="21"/>
      <c r="P40" s="21"/>
      <c r="Q40" s="21">
        <v>558600</v>
      </c>
      <c r="R40" s="21">
        <v>10833065</v>
      </c>
      <c r="S40" s="19"/>
      <c r="T40" s="19">
        <f t="shared" si="6"/>
        <v>22941665</v>
      </c>
    </row>
    <row r="41" spans="1:20">
      <c r="A41" s="1">
        <v>30502180409</v>
      </c>
      <c r="B41" s="1" t="s">
        <v>172</v>
      </c>
      <c r="C41" s="19">
        <v>175000000</v>
      </c>
      <c r="D41" s="1"/>
      <c r="E41" s="19"/>
      <c r="F41" s="19"/>
      <c r="G41" s="19">
        <v>175000000</v>
      </c>
      <c r="H41" s="21">
        <v>9454251</v>
      </c>
      <c r="I41" s="21">
        <v>11701326</v>
      </c>
      <c r="J41" s="21">
        <v>14200507</v>
      </c>
      <c r="K41" s="21">
        <v>12739056</v>
      </c>
      <c r="L41" s="21">
        <v>2310232</v>
      </c>
      <c r="M41" s="21">
        <v>15408678</v>
      </c>
      <c r="N41" s="21">
        <v>8165177</v>
      </c>
      <c r="O41" s="21">
        <v>8559445</v>
      </c>
      <c r="P41" s="21">
        <v>8025896</v>
      </c>
      <c r="Q41" s="21">
        <v>9179146</v>
      </c>
      <c r="R41" s="21">
        <v>2773871</v>
      </c>
      <c r="S41" s="19">
        <v>15699569</v>
      </c>
      <c r="T41" s="19">
        <f t="shared" si="6"/>
        <v>118217154</v>
      </c>
    </row>
    <row r="42" spans="1:20">
      <c r="A42" s="1">
        <v>30502180410</v>
      </c>
      <c r="B42" s="1" t="s">
        <v>173</v>
      </c>
      <c r="C42" s="19">
        <v>35000000</v>
      </c>
      <c r="D42" s="1"/>
      <c r="E42" s="19"/>
      <c r="F42" s="19">
        <v>15000000</v>
      </c>
      <c r="G42" s="19">
        <v>20000000</v>
      </c>
      <c r="H42" s="21">
        <v>316875</v>
      </c>
      <c r="I42" s="21">
        <v>721759</v>
      </c>
      <c r="J42" s="21">
        <v>3486984</v>
      </c>
      <c r="K42" s="21">
        <v>0</v>
      </c>
      <c r="L42" s="21">
        <v>1493746</v>
      </c>
      <c r="M42" s="21">
        <v>394875</v>
      </c>
      <c r="N42" s="21"/>
      <c r="O42" s="21">
        <v>1599048</v>
      </c>
      <c r="P42" s="21">
        <v>131625</v>
      </c>
      <c r="Q42" s="21">
        <v>131625</v>
      </c>
      <c r="R42" s="21">
        <v>2147246</v>
      </c>
      <c r="S42" s="19">
        <v>482250</v>
      </c>
      <c r="T42" s="19">
        <f t="shared" si="6"/>
        <v>10906033</v>
      </c>
    </row>
    <row r="43" spans="1:20">
      <c r="A43" s="1">
        <v>30502180411</v>
      </c>
      <c r="B43" s="1" t="s">
        <v>174</v>
      </c>
      <c r="C43" s="19">
        <v>40000000</v>
      </c>
      <c r="D43" s="1"/>
      <c r="E43" s="19"/>
      <c r="F43" s="19"/>
      <c r="G43" s="19">
        <v>40000000</v>
      </c>
      <c r="H43" s="21">
        <v>9000000</v>
      </c>
      <c r="I43" s="21"/>
      <c r="J43" s="21">
        <v>0</v>
      </c>
      <c r="K43" s="21">
        <v>1102600</v>
      </c>
      <c r="L43" s="21"/>
      <c r="M43" s="21">
        <v>0</v>
      </c>
      <c r="N43" s="21">
        <v>22655696</v>
      </c>
      <c r="O43" s="21">
        <v>5251800</v>
      </c>
      <c r="P43" s="21"/>
      <c r="Q43" s="21"/>
      <c r="R43" s="21"/>
      <c r="S43" s="19">
        <v>1662490</v>
      </c>
      <c r="T43" s="19">
        <f t="shared" si="6"/>
        <v>39672586</v>
      </c>
    </row>
    <row r="44" spans="1:20">
      <c r="A44" s="1">
        <v>30502180412</v>
      </c>
      <c r="B44" s="1" t="s">
        <v>175</v>
      </c>
      <c r="C44" s="19">
        <v>15000000</v>
      </c>
      <c r="D44" s="1"/>
      <c r="E44" s="19"/>
      <c r="F44" s="19"/>
      <c r="G44" s="19">
        <v>15000000</v>
      </c>
      <c r="H44" s="21"/>
      <c r="I44" s="21"/>
      <c r="J44" s="21">
        <v>0</v>
      </c>
      <c r="K44" s="21">
        <v>0</v>
      </c>
      <c r="L44" s="21"/>
      <c r="M44" s="21">
        <v>0</v>
      </c>
      <c r="N44" s="21"/>
      <c r="O44" s="21">
        <v>275000</v>
      </c>
      <c r="P44" s="21">
        <v>2788200</v>
      </c>
      <c r="Q44" s="21"/>
      <c r="R44" s="21"/>
      <c r="S44" s="19"/>
      <c r="T44" s="19">
        <f t="shared" si="6"/>
        <v>3063200</v>
      </c>
    </row>
    <row r="45" spans="1:20">
      <c r="A45" s="1">
        <v>30502180413</v>
      </c>
      <c r="B45" s="1" t="s">
        <v>176</v>
      </c>
      <c r="C45" s="19">
        <v>30000000</v>
      </c>
      <c r="D45" s="1"/>
      <c r="E45" s="19"/>
      <c r="F45" s="19"/>
      <c r="G45" s="19">
        <v>30000000</v>
      </c>
      <c r="H45" s="21"/>
      <c r="I45" s="21"/>
      <c r="J45" s="21">
        <v>0</v>
      </c>
      <c r="K45" s="21">
        <v>0</v>
      </c>
      <c r="L45" s="21"/>
      <c r="M45" s="21">
        <v>0</v>
      </c>
      <c r="N45" s="21"/>
      <c r="O45" s="21"/>
      <c r="P45" s="21"/>
      <c r="Q45" s="21"/>
      <c r="R45" s="21"/>
      <c r="S45" s="19"/>
      <c r="T45" s="19">
        <f t="shared" si="6"/>
        <v>0</v>
      </c>
    </row>
    <row r="46" spans="1:20">
      <c r="A46" s="1">
        <v>30502180414</v>
      </c>
      <c r="B46" s="1" t="s">
        <v>177</v>
      </c>
      <c r="C46" s="19">
        <v>2000000</v>
      </c>
      <c r="D46" s="1"/>
      <c r="E46" s="19"/>
      <c r="F46" s="19"/>
      <c r="G46" s="19">
        <v>2000000</v>
      </c>
      <c r="H46" s="21"/>
      <c r="I46" s="21"/>
      <c r="J46" s="21">
        <v>0</v>
      </c>
      <c r="K46" s="21">
        <v>0</v>
      </c>
      <c r="L46" s="21"/>
      <c r="M46" s="21">
        <v>0</v>
      </c>
      <c r="N46" s="21"/>
      <c r="O46" s="21"/>
      <c r="P46" s="21"/>
      <c r="Q46" s="21"/>
      <c r="R46" s="21"/>
      <c r="S46" s="19">
        <v>2000000</v>
      </c>
      <c r="T46" s="19">
        <f t="shared" si="6"/>
        <v>2000000</v>
      </c>
    </row>
    <row r="47" spans="1:20">
      <c r="A47" s="1"/>
      <c r="B47" s="16" t="s">
        <v>178</v>
      </c>
      <c r="C47" s="17"/>
      <c r="D47" s="17"/>
      <c r="E47" s="17"/>
      <c r="F47" s="17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>
      <c r="A48" s="1"/>
      <c r="B48" s="16" t="s">
        <v>179</v>
      </c>
      <c r="C48" s="17">
        <v>601000000</v>
      </c>
      <c r="D48" s="17">
        <v>0</v>
      </c>
      <c r="E48" s="17">
        <v>0</v>
      </c>
      <c r="F48" s="17">
        <v>5800000</v>
      </c>
      <c r="G48" s="17">
        <v>595200000</v>
      </c>
      <c r="H48" s="18">
        <f>SUM(H49:H52)</f>
        <v>41787726</v>
      </c>
      <c r="I48" s="18">
        <f t="shared" ref="I48:T48" si="8">SUM(I49:I52)</f>
        <v>132347723</v>
      </c>
      <c r="J48" s="18">
        <f t="shared" si="8"/>
        <v>133270302</v>
      </c>
      <c r="K48" s="18">
        <f t="shared" si="8"/>
        <v>4502302</v>
      </c>
      <c r="L48" s="18">
        <f t="shared" si="8"/>
        <v>34502302</v>
      </c>
      <c r="M48" s="18">
        <f t="shared" si="8"/>
        <v>9004604</v>
      </c>
      <c r="N48" s="18">
        <f t="shared" si="8"/>
        <v>23830191</v>
      </c>
      <c r="O48" s="18">
        <f t="shared" si="8"/>
        <v>48305353</v>
      </c>
      <c r="P48" s="18">
        <f t="shared" si="8"/>
        <v>52200</v>
      </c>
      <c r="Q48" s="18">
        <f t="shared" si="8"/>
        <v>13311958</v>
      </c>
      <c r="R48" s="18">
        <f t="shared" si="8"/>
        <v>24502302</v>
      </c>
      <c r="S48" s="18">
        <f t="shared" si="8"/>
        <v>24164854</v>
      </c>
      <c r="T48" s="18">
        <f t="shared" si="8"/>
        <v>489581817</v>
      </c>
    </row>
    <row r="49" spans="1:20">
      <c r="A49" s="1">
        <v>30503180401</v>
      </c>
      <c r="B49" s="1" t="s">
        <v>180</v>
      </c>
      <c r="C49" s="19">
        <v>80000000</v>
      </c>
      <c r="D49" s="24"/>
      <c r="E49" s="24"/>
      <c r="F49" s="24"/>
      <c r="G49" s="19">
        <v>80000000</v>
      </c>
      <c r="H49" s="21">
        <v>5270302</v>
      </c>
      <c r="I49" s="21">
        <v>5048702</v>
      </c>
      <c r="J49" s="21">
        <v>5270302</v>
      </c>
      <c r="K49" s="21">
        <v>4502302</v>
      </c>
      <c r="L49" s="21">
        <v>4502302</v>
      </c>
      <c r="M49" s="21">
        <v>9004604</v>
      </c>
      <c r="N49" s="21">
        <v>10331987</v>
      </c>
      <c r="O49" s="21">
        <v>4502302</v>
      </c>
      <c r="P49" s="21">
        <v>52200</v>
      </c>
      <c r="Q49" s="21">
        <v>4502302</v>
      </c>
      <c r="R49" s="21">
        <v>4502302</v>
      </c>
      <c r="S49" s="19">
        <v>14252797</v>
      </c>
      <c r="T49" s="19">
        <f t="shared" ref="T49:T56" si="9">SUM(H49:S49)</f>
        <v>71742404</v>
      </c>
    </row>
    <row r="50" spans="1:20">
      <c r="A50" s="1">
        <v>30503180402</v>
      </c>
      <c r="B50" s="1" t="s">
        <v>181</v>
      </c>
      <c r="C50" s="19">
        <v>1000000</v>
      </c>
      <c r="D50" s="1"/>
      <c r="E50" s="19"/>
      <c r="F50" s="19"/>
      <c r="G50" s="19">
        <v>1000000</v>
      </c>
      <c r="H50" s="21"/>
      <c r="I50" s="21"/>
      <c r="J50" s="21">
        <v>0</v>
      </c>
      <c r="K50" s="21">
        <v>0</v>
      </c>
      <c r="L50" s="21"/>
      <c r="M50" s="21">
        <v>0</v>
      </c>
      <c r="N50" s="21"/>
      <c r="O50" s="21"/>
      <c r="P50" s="21"/>
      <c r="Q50" s="21"/>
      <c r="R50" s="21"/>
      <c r="S50" s="19">
        <v>0</v>
      </c>
      <c r="T50" s="19">
        <f t="shared" si="9"/>
        <v>0</v>
      </c>
    </row>
    <row r="51" spans="1:20">
      <c r="A51" s="1">
        <v>30503180403</v>
      </c>
      <c r="B51" s="1" t="s">
        <v>182</v>
      </c>
      <c r="C51" s="19">
        <v>500000000</v>
      </c>
      <c r="D51" s="1"/>
      <c r="E51" s="19"/>
      <c r="F51" s="19"/>
      <c r="G51" s="19">
        <v>500000000</v>
      </c>
      <c r="H51" s="21">
        <v>36517424</v>
      </c>
      <c r="I51" s="21">
        <v>119428508</v>
      </c>
      <c r="J51" s="21">
        <v>128000000</v>
      </c>
      <c r="K51" s="21">
        <v>0</v>
      </c>
      <c r="L51" s="21">
        <v>30000000</v>
      </c>
      <c r="M51" s="21">
        <v>0</v>
      </c>
      <c r="N51" s="21">
        <v>13413400</v>
      </c>
      <c r="O51" s="21">
        <v>43803051</v>
      </c>
      <c r="P51" s="21">
        <v>0</v>
      </c>
      <c r="Q51" s="21">
        <v>8809656</v>
      </c>
      <c r="R51" s="21">
        <v>20000000</v>
      </c>
      <c r="S51" s="19">
        <v>9912057</v>
      </c>
      <c r="T51" s="19">
        <f t="shared" si="9"/>
        <v>409884096</v>
      </c>
    </row>
    <row r="52" spans="1:20">
      <c r="A52" s="1">
        <v>30503180404</v>
      </c>
      <c r="B52" s="1" t="s">
        <v>183</v>
      </c>
      <c r="C52" s="19">
        <v>20000000</v>
      </c>
      <c r="D52" s="1"/>
      <c r="E52" s="19"/>
      <c r="F52" s="19">
        <v>5800000</v>
      </c>
      <c r="G52" s="19">
        <v>14200000</v>
      </c>
      <c r="H52" s="21"/>
      <c r="I52" s="21">
        <v>7870513</v>
      </c>
      <c r="J52" s="21">
        <v>0</v>
      </c>
      <c r="K52" s="21">
        <v>0</v>
      </c>
      <c r="L52" s="21"/>
      <c r="M52" s="21">
        <v>0</v>
      </c>
      <c r="N52" s="21">
        <v>84804</v>
      </c>
      <c r="O52" s="21"/>
      <c r="P52" s="21"/>
      <c r="Q52" s="21"/>
      <c r="R52" s="21"/>
      <c r="S52" s="19"/>
      <c r="T52" s="19">
        <f t="shared" si="9"/>
        <v>7955317</v>
      </c>
    </row>
    <row r="53" spans="1:20">
      <c r="A53" s="1"/>
      <c r="B53" s="16" t="s">
        <v>184</v>
      </c>
      <c r="C53" s="17">
        <v>160000000</v>
      </c>
      <c r="D53" s="17">
        <v>0</v>
      </c>
      <c r="E53" s="17">
        <v>0</v>
      </c>
      <c r="F53" s="17">
        <v>0</v>
      </c>
      <c r="G53" s="17">
        <v>160000000</v>
      </c>
      <c r="H53" s="18">
        <f>SUM(H54:H56)</f>
        <v>113333</v>
      </c>
      <c r="I53" s="18">
        <f t="shared" ref="I53:T53" si="10">SUM(I54:I56)</f>
        <v>8047140</v>
      </c>
      <c r="J53" s="18">
        <f t="shared" si="10"/>
        <v>2946840</v>
      </c>
      <c r="K53" s="18">
        <f t="shared" si="10"/>
        <v>4938346</v>
      </c>
      <c r="L53" s="18">
        <f t="shared" si="10"/>
        <v>13420205</v>
      </c>
      <c r="M53" s="18">
        <f t="shared" si="10"/>
        <v>4175925</v>
      </c>
      <c r="N53" s="18">
        <f t="shared" si="10"/>
        <v>7780000</v>
      </c>
      <c r="O53" s="18">
        <f t="shared" si="10"/>
        <v>1133400</v>
      </c>
      <c r="P53" s="18">
        <f t="shared" si="10"/>
        <v>22369529</v>
      </c>
      <c r="Q53" s="18">
        <f t="shared" si="10"/>
        <v>5551790</v>
      </c>
      <c r="R53" s="18">
        <f t="shared" si="10"/>
        <v>2953620</v>
      </c>
      <c r="S53" s="18">
        <f t="shared" si="10"/>
        <v>24156680</v>
      </c>
      <c r="T53" s="18">
        <f t="shared" si="10"/>
        <v>97586808</v>
      </c>
    </row>
    <row r="54" spans="1:20">
      <c r="A54" s="1">
        <v>30503180405</v>
      </c>
      <c r="B54" s="1" t="s">
        <v>185</v>
      </c>
      <c r="C54" s="19">
        <v>50000000</v>
      </c>
      <c r="D54" s="24"/>
      <c r="E54" s="24"/>
      <c r="F54" s="24"/>
      <c r="G54" s="19">
        <v>50000000</v>
      </c>
      <c r="H54" s="19"/>
      <c r="I54" s="19"/>
      <c r="J54" s="19">
        <v>0</v>
      </c>
      <c r="K54" s="19">
        <v>0</v>
      </c>
      <c r="L54" s="19"/>
      <c r="M54" s="19">
        <v>0</v>
      </c>
      <c r="N54" s="19"/>
      <c r="O54" s="19"/>
      <c r="P54" s="19"/>
      <c r="Q54" s="19"/>
      <c r="R54" s="19"/>
      <c r="S54" s="19"/>
      <c r="T54" s="19">
        <f t="shared" si="9"/>
        <v>0</v>
      </c>
    </row>
    <row r="55" spans="1:20">
      <c r="A55" s="1">
        <v>30503180406</v>
      </c>
      <c r="B55" s="1" t="s">
        <v>186</v>
      </c>
      <c r="C55" s="19">
        <v>60000000</v>
      </c>
      <c r="D55" s="1"/>
      <c r="E55" s="19"/>
      <c r="F55" s="19"/>
      <c r="G55" s="19">
        <v>60000000</v>
      </c>
      <c r="H55" s="19"/>
      <c r="I55" s="19">
        <v>1133400</v>
      </c>
      <c r="J55" s="19">
        <v>566700</v>
      </c>
      <c r="K55" s="19">
        <v>0</v>
      </c>
      <c r="L55" s="19">
        <v>5221550</v>
      </c>
      <c r="M55" s="19">
        <v>0</v>
      </c>
      <c r="N55" s="19">
        <v>7780000</v>
      </c>
      <c r="O55" s="19">
        <v>1133400</v>
      </c>
      <c r="P55" s="19">
        <v>11293580</v>
      </c>
      <c r="Q55" s="19"/>
      <c r="R55" s="19">
        <v>2613600</v>
      </c>
      <c r="S55" s="19">
        <v>23930000</v>
      </c>
      <c r="T55" s="19">
        <f t="shared" si="9"/>
        <v>53672230</v>
      </c>
    </row>
    <row r="56" spans="1:20">
      <c r="A56" s="1">
        <v>30503180407</v>
      </c>
      <c r="B56" s="1" t="s">
        <v>187</v>
      </c>
      <c r="C56" s="19">
        <v>50000000</v>
      </c>
      <c r="D56" s="1"/>
      <c r="E56" s="19"/>
      <c r="F56" s="19"/>
      <c r="G56" s="19">
        <v>50000000</v>
      </c>
      <c r="H56" s="19">
        <v>113333</v>
      </c>
      <c r="I56" s="19">
        <v>6913740</v>
      </c>
      <c r="J56" s="19">
        <v>2380140</v>
      </c>
      <c r="K56" s="19">
        <v>4938346</v>
      </c>
      <c r="L56" s="19">
        <v>8198655</v>
      </c>
      <c r="M56" s="19">
        <v>4175925</v>
      </c>
      <c r="N56" s="19"/>
      <c r="O56" s="19"/>
      <c r="P56" s="19">
        <v>11075949</v>
      </c>
      <c r="Q56" s="19">
        <v>5551790</v>
      </c>
      <c r="R56" s="19">
        <v>340020</v>
      </c>
      <c r="S56" s="19">
        <v>226680</v>
      </c>
      <c r="T56" s="19">
        <f t="shared" si="9"/>
        <v>43914578</v>
      </c>
    </row>
    <row r="57" spans="1:20" ht="15.75">
      <c r="A57" s="1"/>
      <c r="B57" s="1"/>
      <c r="C57" s="1"/>
      <c r="D57" s="1"/>
      <c r="E57" s="1"/>
      <c r="F57" s="1"/>
      <c r="G57" s="1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9"/>
    </row>
    <row r="58" spans="1:20">
      <c r="A58" s="9"/>
      <c r="B58" s="30" t="s">
        <v>188</v>
      </c>
      <c r="C58" s="31">
        <v>5320000000</v>
      </c>
      <c r="D58" s="31">
        <v>0</v>
      </c>
      <c r="E58" s="31">
        <v>106800000</v>
      </c>
      <c r="F58" s="31">
        <v>106800000</v>
      </c>
      <c r="G58" s="31">
        <v>5320000000</v>
      </c>
      <c r="H58" s="32">
        <f>H7+H18+H22+H24+H31+H37+H48+H53</f>
        <v>325495487</v>
      </c>
      <c r="I58" s="32">
        <f t="shared" ref="I58:T58" si="11">I7+I18+I22+I24+I31+I37+I48+I53</f>
        <v>408525554</v>
      </c>
      <c r="J58" s="32">
        <f t="shared" si="11"/>
        <v>466749983</v>
      </c>
      <c r="K58" s="32">
        <f t="shared" si="11"/>
        <v>277761061</v>
      </c>
      <c r="L58" s="32">
        <f t="shared" si="11"/>
        <v>384951811</v>
      </c>
      <c r="M58" s="32">
        <f t="shared" si="11"/>
        <v>256269083</v>
      </c>
      <c r="N58" s="32">
        <f t="shared" si="11"/>
        <v>347456938</v>
      </c>
      <c r="O58" s="32">
        <f t="shared" si="11"/>
        <v>271836902</v>
      </c>
      <c r="P58" s="32">
        <f t="shared" si="11"/>
        <v>299979766</v>
      </c>
      <c r="Q58" s="32">
        <f t="shared" si="11"/>
        <v>493327333</v>
      </c>
      <c r="R58" s="32">
        <f t="shared" si="11"/>
        <v>351953994</v>
      </c>
      <c r="S58" s="31">
        <f t="shared" si="11"/>
        <v>466651202</v>
      </c>
      <c r="T58" s="31">
        <f t="shared" si="11"/>
        <v>4350959114</v>
      </c>
    </row>
    <row r="59" spans="1:20" ht="15.75">
      <c r="A59" s="33"/>
      <c r="B59" s="33"/>
      <c r="C59" s="33"/>
      <c r="D59" s="33"/>
      <c r="E59" s="33"/>
      <c r="F59" s="33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</row>
    <row r="60" spans="1:20" ht="15.75">
      <c r="A60" s="33"/>
      <c r="B60" s="36" t="s">
        <v>189</v>
      </c>
      <c r="C60" s="37"/>
      <c r="D60" s="33"/>
      <c r="E60" s="33"/>
      <c r="F60" s="33"/>
      <c r="G60" s="3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19">
        <f t="shared" ref="T60:T63" si="12">SUM(H60:S60)</f>
        <v>0</v>
      </c>
    </row>
    <row r="61" spans="1:20">
      <c r="A61" s="1">
        <v>305061804</v>
      </c>
      <c r="B61" s="16" t="s">
        <v>190</v>
      </c>
      <c r="C61" s="17">
        <v>0</v>
      </c>
      <c r="D61" s="17"/>
      <c r="E61" s="17"/>
      <c r="F61" s="17"/>
      <c r="G61" s="17">
        <v>0</v>
      </c>
      <c r="H61" s="18"/>
      <c r="I61" s="18"/>
      <c r="J61" s="18">
        <v>0</v>
      </c>
      <c r="K61" s="18"/>
      <c r="L61" s="18"/>
      <c r="M61" s="18">
        <v>0</v>
      </c>
      <c r="N61" s="18"/>
      <c r="O61" s="18"/>
      <c r="P61" s="18"/>
      <c r="Q61" s="18"/>
      <c r="R61" s="18"/>
      <c r="S61" s="18"/>
      <c r="T61" s="18">
        <f t="shared" si="12"/>
        <v>0</v>
      </c>
    </row>
    <row r="62" spans="1:20">
      <c r="A62" s="1">
        <v>30506180401</v>
      </c>
      <c r="B62" s="1" t="s">
        <v>191</v>
      </c>
      <c r="C62" s="37">
        <v>0</v>
      </c>
      <c r="D62" s="33"/>
      <c r="E62" s="33"/>
      <c r="F62" s="33"/>
      <c r="G62" s="19">
        <v>0</v>
      </c>
      <c r="H62" s="21"/>
      <c r="I62" s="21"/>
      <c r="J62" s="21">
        <v>0</v>
      </c>
      <c r="K62" s="21"/>
      <c r="L62" s="21"/>
      <c r="M62" s="21">
        <v>0</v>
      </c>
      <c r="N62" s="21"/>
      <c r="O62" s="21"/>
      <c r="P62" s="21"/>
      <c r="Q62" s="21"/>
      <c r="R62" s="21"/>
      <c r="S62" s="19"/>
      <c r="T62" s="19">
        <f t="shared" si="12"/>
        <v>0</v>
      </c>
    </row>
    <row r="63" spans="1:20">
      <c r="A63" s="1">
        <v>30506180402</v>
      </c>
      <c r="B63" s="1" t="s">
        <v>192</v>
      </c>
      <c r="C63" s="37">
        <v>0</v>
      </c>
      <c r="D63" s="33"/>
      <c r="E63" s="33"/>
      <c r="G63" s="19">
        <v>0</v>
      </c>
      <c r="H63" s="21"/>
      <c r="I63" s="21"/>
      <c r="J63" s="21">
        <v>0</v>
      </c>
      <c r="K63" s="21"/>
      <c r="L63" s="21"/>
      <c r="M63" s="21">
        <v>0</v>
      </c>
      <c r="N63" s="21"/>
      <c r="O63" s="21"/>
      <c r="P63" s="21"/>
      <c r="Q63" s="21"/>
      <c r="R63" s="21"/>
      <c r="S63" s="19"/>
      <c r="T63" s="19">
        <f t="shared" si="12"/>
        <v>0</v>
      </c>
    </row>
    <row r="64" spans="1:20" ht="15.75">
      <c r="A64" s="9"/>
      <c r="B64" s="30" t="s">
        <v>193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2">
        <v>0</v>
      </c>
      <c r="I64" s="32">
        <v>0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8">
        <v>0</v>
      </c>
    </row>
    <row r="65" spans="1:20" ht="15.75">
      <c r="A65" s="33"/>
      <c r="B65" s="33"/>
      <c r="C65" s="33"/>
      <c r="D65" s="1"/>
      <c r="E65" s="1"/>
      <c r="F65" s="1"/>
      <c r="G65" s="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39"/>
    </row>
    <row r="66" spans="1:20" ht="15.75">
      <c r="A66" s="33"/>
      <c r="B66" s="36" t="s">
        <v>194</v>
      </c>
      <c r="C66" s="33"/>
      <c r="D66" s="1"/>
      <c r="E66" s="1"/>
      <c r="F66" s="1"/>
      <c r="G66" s="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39"/>
    </row>
    <row r="67" spans="1:20">
      <c r="A67" s="1" t="s">
        <v>195</v>
      </c>
      <c r="B67" s="1" t="s">
        <v>196</v>
      </c>
      <c r="C67" s="19">
        <v>980000000</v>
      </c>
      <c r="D67" s="19">
        <v>322000000</v>
      </c>
      <c r="E67" s="1"/>
      <c r="F67" s="1"/>
      <c r="G67" s="19">
        <v>1302000000</v>
      </c>
      <c r="H67" s="21">
        <v>3800000</v>
      </c>
      <c r="I67" s="21">
        <v>0</v>
      </c>
      <c r="J67" s="21">
        <v>17300000</v>
      </c>
      <c r="K67" s="21">
        <v>7600000</v>
      </c>
      <c r="L67" s="21">
        <v>15800000</v>
      </c>
      <c r="M67" s="21">
        <v>12983772</v>
      </c>
      <c r="N67" s="21">
        <v>10648157</v>
      </c>
      <c r="O67" s="21">
        <v>1912542</v>
      </c>
      <c r="P67" s="21">
        <v>7289098</v>
      </c>
      <c r="Q67" s="21">
        <v>1173686000</v>
      </c>
      <c r="R67" s="21">
        <v>35482805</v>
      </c>
      <c r="S67" s="19"/>
      <c r="T67" s="19">
        <f t="shared" ref="T67:T69" si="13">SUM(H67:S67)</f>
        <v>1286502374</v>
      </c>
    </row>
    <row r="68" spans="1:20">
      <c r="A68" s="1" t="s">
        <v>197</v>
      </c>
      <c r="B68" s="1" t="s">
        <v>198</v>
      </c>
      <c r="C68" s="19">
        <v>555000000</v>
      </c>
      <c r="D68" s="19"/>
      <c r="E68" s="1"/>
      <c r="F68" s="1"/>
      <c r="G68" s="19">
        <v>555000000</v>
      </c>
      <c r="H68" s="21"/>
      <c r="I68" s="21">
        <v>80000000</v>
      </c>
      <c r="J68" s="21">
        <v>11069199</v>
      </c>
      <c r="K68" s="21">
        <v>19000000</v>
      </c>
      <c r="L68" s="21">
        <v>14455000</v>
      </c>
      <c r="M68" s="21">
        <v>11500000</v>
      </c>
      <c r="N68" s="21">
        <v>20975000</v>
      </c>
      <c r="O68" s="21"/>
      <c r="P68" s="21">
        <f>24622279-6000000</f>
        <v>18622279</v>
      </c>
      <c r="Q68" s="21">
        <v>15775000</v>
      </c>
      <c r="R68" s="21">
        <v>60000000</v>
      </c>
      <c r="S68" s="19">
        <v>107314100</v>
      </c>
      <c r="T68" s="19">
        <f t="shared" si="13"/>
        <v>358710578</v>
      </c>
    </row>
    <row r="69" spans="1:20">
      <c r="A69" s="1" t="s">
        <v>199</v>
      </c>
      <c r="B69" s="1" t="s">
        <v>200</v>
      </c>
      <c r="C69" s="19">
        <v>350000000</v>
      </c>
      <c r="D69" s="19">
        <v>35101600</v>
      </c>
      <c r="E69" s="1"/>
      <c r="F69" s="1"/>
      <c r="G69" s="19">
        <v>385101600</v>
      </c>
      <c r="H69" s="21">
        <v>3800000</v>
      </c>
      <c r="I69" s="21">
        <v>10800000</v>
      </c>
      <c r="J69" s="21">
        <v>7000000</v>
      </c>
      <c r="K69" s="21">
        <v>12800000</v>
      </c>
      <c r="L69" s="21">
        <v>40460000</v>
      </c>
      <c r="M69" s="21">
        <f>34999280-2700000</f>
        <v>32299280</v>
      </c>
      <c r="N69" s="21">
        <v>70092480</v>
      </c>
      <c r="O69" s="21">
        <v>10909616</v>
      </c>
      <c r="P69" s="21">
        <v>10000000</v>
      </c>
      <c r="Q69" s="21">
        <v>25500000</v>
      </c>
      <c r="R69" s="21">
        <v>13000000</v>
      </c>
      <c r="S69" s="19">
        <f>49313333-15800000</f>
        <v>33513333</v>
      </c>
      <c r="T69" s="19">
        <f t="shared" si="13"/>
        <v>270174709</v>
      </c>
    </row>
    <row r="70" spans="1:20">
      <c r="A70" s="9"/>
      <c r="B70" s="30" t="s">
        <v>201</v>
      </c>
      <c r="C70" s="31">
        <v>1885000000</v>
      </c>
      <c r="D70" s="31">
        <v>357101600</v>
      </c>
      <c r="E70" s="31">
        <v>0</v>
      </c>
      <c r="F70" s="31">
        <v>0</v>
      </c>
      <c r="G70" s="31">
        <v>2242101600</v>
      </c>
      <c r="H70" s="32">
        <f>SUM(H67:H69)</f>
        <v>7600000</v>
      </c>
      <c r="I70" s="32">
        <f t="shared" ref="I70:T70" si="14">SUM(I67:I69)</f>
        <v>90800000</v>
      </c>
      <c r="J70" s="32">
        <f t="shared" si="14"/>
        <v>35369199</v>
      </c>
      <c r="K70" s="32">
        <f t="shared" si="14"/>
        <v>39400000</v>
      </c>
      <c r="L70" s="32">
        <f t="shared" si="14"/>
        <v>70715000</v>
      </c>
      <c r="M70" s="32">
        <f t="shared" si="14"/>
        <v>56783052</v>
      </c>
      <c r="N70" s="32">
        <f t="shared" si="14"/>
        <v>101715637</v>
      </c>
      <c r="O70" s="32">
        <f t="shared" si="14"/>
        <v>12822158</v>
      </c>
      <c r="P70" s="32">
        <f t="shared" si="14"/>
        <v>35911377</v>
      </c>
      <c r="Q70" s="32">
        <f t="shared" si="14"/>
        <v>1214961000</v>
      </c>
      <c r="R70" s="32">
        <f t="shared" si="14"/>
        <v>108482805</v>
      </c>
      <c r="S70" s="31">
        <f t="shared" si="14"/>
        <v>140827433</v>
      </c>
      <c r="T70" s="31">
        <f t="shared" si="14"/>
        <v>1915387661</v>
      </c>
    </row>
    <row r="71" spans="1:20" ht="15.75">
      <c r="B71" s="40" t="s">
        <v>202</v>
      </c>
      <c r="C71" s="31">
        <v>7205000000</v>
      </c>
      <c r="D71" s="31">
        <v>357101600</v>
      </c>
      <c r="E71" s="31">
        <v>106800000</v>
      </c>
      <c r="F71" s="31">
        <v>106800000</v>
      </c>
      <c r="G71" s="31">
        <v>7562101600</v>
      </c>
      <c r="H71" s="32">
        <f>H58+H70</f>
        <v>333095487</v>
      </c>
      <c r="I71" s="32">
        <f t="shared" ref="I71:T71" si="15">I58+I70</f>
        <v>499325554</v>
      </c>
      <c r="J71" s="32">
        <f t="shared" si="15"/>
        <v>502119182</v>
      </c>
      <c r="K71" s="32">
        <f t="shared" si="15"/>
        <v>317161061</v>
      </c>
      <c r="L71" s="32">
        <f t="shared" si="15"/>
        <v>455666811</v>
      </c>
      <c r="M71" s="32">
        <f t="shared" si="15"/>
        <v>313052135</v>
      </c>
      <c r="N71" s="32">
        <f t="shared" si="15"/>
        <v>449172575</v>
      </c>
      <c r="O71" s="32">
        <f t="shared" si="15"/>
        <v>284659060</v>
      </c>
      <c r="P71" s="32">
        <f t="shared" si="15"/>
        <v>335891143</v>
      </c>
      <c r="Q71" s="32">
        <f t="shared" si="15"/>
        <v>1708288333</v>
      </c>
      <c r="R71" s="32">
        <f t="shared" si="15"/>
        <v>460436799</v>
      </c>
      <c r="S71" s="31">
        <f t="shared" si="15"/>
        <v>607478635</v>
      </c>
      <c r="T71" s="31">
        <f t="shared" si="15"/>
        <v>6266346775</v>
      </c>
    </row>
  </sheetData>
  <mergeCells count="21">
    <mergeCell ref="O3:O5"/>
    <mergeCell ref="A1:T1"/>
    <mergeCell ref="A2:T2"/>
    <mergeCell ref="A3:A5"/>
    <mergeCell ref="B3:B4"/>
    <mergeCell ref="C3:C5"/>
    <mergeCell ref="D3:D5"/>
    <mergeCell ref="E3:F4"/>
    <mergeCell ref="G3:G5"/>
    <mergeCell ref="H3:H5"/>
    <mergeCell ref="I3:I5"/>
    <mergeCell ref="J3:J5"/>
    <mergeCell ref="K3:K5"/>
    <mergeCell ref="L3:L5"/>
    <mergeCell ref="M3:M5"/>
    <mergeCell ref="N3:N5"/>
    <mergeCell ref="P3:P5"/>
    <mergeCell ref="Q3:Q5"/>
    <mergeCell ref="R3:R5"/>
    <mergeCell ref="S3:S5"/>
    <mergeCell ref="T3:T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topLeftCell="A16" workbookViewId="0">
      <selection sqref="A1:R56"/>
    </sheetView>
  </sheetViews>
  <sheetFormatPr baseColWidth="10" defaultRowHeight="15"/>
  <cols>
    <col min="2" max="2" width="37.28515625" bestFit="1" customWidth="1"/>
    <col min="3" max="3" width="17" customWidth="1"/>
    <col min="4" max="4" width="17.5703125" customWidth="1"/>
    <col min="5" max="5" width="16.85546875" customWidth="1"/>
    <col min="6" max="6" width="15.42578125" customWidth="1"/>
    <col min="7" max="7" width="17.5703125" customWidth="1"/>
    <col min="8" max="8" width="15.42578125" customWidth="1"/>
    <col min="9" max="10" width="13.5703125" customWidth="1"/>
    <col min="11" max="11" width="13.85546875" customWidth="1"/>
    <col min="12" max="12" width="13.5703125" customWidth="1"/>
    <col min="13" max="13" width="13.7109375" customWidth="1"/>
    <col min="14" max="14" width="13.5703125" customWidth="1"/>
    <col min="15" max="15" width="13.7109375" customWidth="1"/>
    <col min="16" max="16" width="14.42578125" customWidth="1"/>
    <col min="17" max="17" width="14.28515625" customWidth="1"/>
    <col min="18" max="18" width="16.5703125" customWidth="1"/>
  </cols>
  <sheetData>
    <row r="1" spans="1:18" ht="18.75">
      <c r="A1" s="107" t="s">
        <v>203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>
      <c r="A2" s="105" t="s">
        <v>3</v>
      </c>
      <c r="B2" s="105" t="s">
        <v>4</v>
      </c>
      <c r="C2" s="105" t="s">
        <v>204</v>
      </c>
      <c r="D2" s="105" t="s">
        <v>205</v>
      </c>
      <c r="E2" s="105" t="s">
        <v>121</v>
      </c>
      <c r="F2" s="105" t="s">
        <v>206</v>
      </c>
      <c r="G2" s="105" t="s">
        <v>207</v>
      </c>
      <c r="H2" s="105" t="s">
        <v>208</v>
      </c>
      <c r="I2" s="105" t="s">
        <v>209</v>
      </c>
      <c r="J2" s="105" t="s">
        <v>210</v>
      </c>
      <c r="K2" s="105" t="s">
        <v>211</v>
      </c>
      <c r="L2" s="105" t="s">
        <v>212</v>
      </c>
      <c r="M2" s="105" t="s">
        <v>213</v>
      </c>
      <c r="N2" s="105" t="s">
        <v>214</v>
      </c>
      <c r="O2" s="105" t="s">
        <v>215</v>
      </c>
      <c r="P2" s="105" t="s">
        <v>216</v>
      </c>
      <c r="Q2" s="105" t="s">
        <v>217</v>
      </c>
      <c r="R2" s="105" t="s">
        <v>218</v>
      </c>
    </row>
    <row r="3" spans="1:18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>
      <c r="A4" s="1">
        <v>1.1000000000000001</v>
      </c>
      <c r="B4" s="2" t="s">
        <v>21</v>
      </c>
    </row>
    <row r="5" spans="1:18">
      <c r="A5" s="5" t="s">
        <v>22</v>
      </c>
      <c r="B5" s="6" t="s">
        <v>23</v>
      </c>
      <c r="C5" s="7">
        <v>980000000</v>
      </c>
      <c r="D5" s="7">
        <v>0</v>
      </c>
      <c r="E5" s="7">
        <f>C5+D5</f>
        <v>980000000</v>
      </c>
      <c r="F5" s="7"/>
      <c r="G5" s="7"/>
      <c r="H5" s="7">
        <v>260000000</v>
      </c>
      <c r="I5" s="7"/>
      <c r="J5" s="7"/>
      <c r="K5" s="7"/>
      <c r="L5" s="7"/>
      <c r="M5" s="7">
        <v>400000000</v>
      </c>
      <c r="N5" s="7"/>
      <c r="O5" s="7"/>
      <c r="P5" s="7"/>
      <c r="Q5" s="7"/>
      <c r="R5" s="7">
        <f>SUM(F5:Q5)</f>
        <v>660000000</v>
      </c>
    </row>
    <row r="6" spans="1:18">
      <c r="A6" s="1">
        <v>1.2</v>
      </c>
      <c r="B6" s="2" t="s">
        <v>24</v>
      </c>
      <c r="C6" s="33"/>
      <c r="D6" s="7"/>
      <c r="E6" s="3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5" t="s">
        <v>25</v>
      </c>
      <c r="B7" s="6" t="s">
        <v>26</v>
      </c>
      <c r="C7" s="7">
        <v>1650000000</v>
      </c>
      <c r="D7" s="7">
        <v>0</v>
      </c>
      <c r="E7" s="7">
        <f t="shared" ref="E7:E47" si="0">C7+D7</f>
        <v>1650000000</v>
      </c>
      <c r="F7" s="7">
        <f>153391696-43408</f>
        <v>153348288</v>
      </c>
      <c r="G7" s="7">
        <f>121866967+5302600</f>
        <v>127169567</v>
      </c>
      <c r="H7" s="7">
        <v>87093437</v>
      </c>
      <c r="I7" s="7">
        <f>118010514+103769949</f>
        <v>221780463</v>
      </c>
      <c r="J7" s="7">
        <f>130566561+52971898</f>
        <v>183538459</v>
      </c>
      <c r="K7" s="7">
        <f>121205503+54192328</f>
        <v>175397831</v>
      </c>
      <c r="L7" s="7">
        <f>150943641+14538458+357280+6692211</f>
        <v>172531590</v>
      </c>
      <c r="M7" s="7">
        <f>158397939+31434714</f>
        <v>189832653</v>
      </c>
      <c r="N7" s="7">
        <f>194139314+44572618</f>
        <v>238711932</v>
      </c>
      <c r="O7" s="7">
        <f>181337685+40847177</f>
        <v>222184862</v>
      </c>
      <c r="P7" s="7">
        <v>183472954</v>
      </c>
      <c r="Q7" s="7">
        <v>238486302</v>
      </c>
      <c r="R7" s="7">
        <f t="shared" ref="R7:R47" si="1">SUM(F7:Q7)</f>
        <v>2193548338</v>
      </c>
    </row>
    <row r="8" spans="1:18">
      <c r="A8" s="5" t="s">
        <v>27</v>
      </c>
      <c r="B8" s="6" t="s">
        <v>28</v>
      </c>
      <c r="C8" s="7">
        <v>231000000</v>
      </c>
      <c r="D8" s="7">
        <v>0</v>
      </c>
      <c r="E8" s="7">
        <f t="shared" si="0"/>
        <v>231000000</v>
      </c>
      <c r="F8" s="7">
        <v>11698004</v>
      </c>
      <c r="G8" s="7">
        <v>14080076</v>
      </c>
      <c r="H8" s="7">
        <v>19663475</v>
      </c>
      <c r="I8" s="7">
        <f>3866130+1306125+1671840+2821230+7801920+783675</f>
        <v>18250920</v>
      </c>
      <c r="J8" s="7">
        <f>21875694-1224676</f>
        <v>20651018</v>
      </c>
      <c r="K8" s="7">
        <f>19177852</f>
        <v>19177852</v>
      </c>
      <c r="L8" s="7">
        <v>14391853</v>
      </c>
      <c r="M8" s="7">
        <f>1546*37671</f>
        <v>58239366</v>
      </c>
      <c r="N8" s="7">
        <v>32458796</v>
      </c>
      <c r="O8" s="7">
        <v>39778392</v>
      </c>
      <c r="P8" s="7">
        <f>1859566</f>
        <v>1859566</v>
      </c>
      <c r="Q8" s="7">
        <v>16561665</v>
      </c>
      <c r="R8" s="7">
        <f t="shared" si="1"/>
        <v>266810983</v>
      </c>
    </row>
    <row r="9" spans="1:18">
      <c r="A9" s="5" t="s">
        <v>29</v>
      </c>
      <c r="B9" s="6" t="s">
        <v>30</v>
      </c>
      <c r="C9" s="41">
        <v>42900000</v>
      </c>
      <c r="D9" s="7">
        <v>0</v>
      </c>
      <c r="E9" s="7">
        <f t="shared" si="0"/>
        <v>42900000</v>
      </c>
      <c r="F9" s="7">
        <v>856974</v>
      </c>
      <c r="G9" s="7">
        <v>6447000</v>
      </c>
      <c r="H9" s="7">
        <v>1142900</v>
      </c>
      <c r="I9" s="7">
        <v>1872700</v>
      </c>
      <c r="J9" s="7">
        <v>4236600</v>
      </c>
      <c r="K9" s="7">
        <v>3845672</v>
      </c>
      <c r="L9" s="7">
        <v>7335300</v>
      </c>
      <c r="M9" s="42">
        <v>8166000</v>
      </c>
      <c r="N9" s="7">
        <v>5648800</v>
      </c>
      <c r="O9" s="7">
        <v>13692200</v>
      </c>
      <c r="P9" s="7">
        <v>3745400</v>
      </c>
      <c r="Q9" s="7">
        <v>2895422</v>
      </c>
      <c r="R9" s="7">
        <f t="shared" si="1"/>
        <v>59884968</v>
      </c>
    </row>
    <row r="10" spans="1:18">
      <c r="A10" s="5" t="s">
        <v>31</v>
      </c>
      <c r="B10" s="6" t="s">
        <v>32</v>
      </c>
      <c r="C10" s="41">
        <v>1133800800</v>
      </c>
      <c r="D10" s="7">
        <v>0</v>
      </c>
      <c r="E10" s="7">
        <f t="shared" si="0"/>
        <v>1133800800</v>
      </c>
      <c r="F10" s="7">
        <v>129964162</v>
      </c>
      <c r="G10" s="7">
        <v>91744080</v>
      </c>
      <c r="H10" s="7">
        <v>72706050</v>
      </c>
      <c r="I10" s="7">
        <v>78871893</v>
      </c>
      <c r="J10" s="7">
        <v>87635984</v>
      </c>
      <c r="K10" s="7">
        <v>83770733</v>
      </c>
      <c r="L10" s="7">
        <v>93834813</v>
      </c>
      <c r="M10" s="7">
        <v>76141437</v>
      </c>
      <c r="N10" s="7">
        <v>71655894</v>
      </c>
      <c r="O10" s="7">
        <v>96884404</v>
      </c>
      <c r="P10" s="7">
        <v>98753214</v>
      </c>
      <c r="Q10" s="7">
        <v>145796140</v>
      </c>
      <c r="R10" s="7">
        <f t="shared" si="1"/>
        <v>1127758804</v>
      </c>
    </row>
    <row r="11" spans="1:18">
      <c r="A11" s="5" t="s">
        <v>33</v>
      </c>
      <c r="B11" s="6" t="s">
        <v>34</v>
      </c>
      <c r="C11" s="41">
        <v>47300000</v>
      </c>
      <c r="D11" s="7">
        <v>0</v>
      </c>
      <c r="E11" s="7">
        <f t="shared" si="0"/>
        <v>47300000</v>
      </c>
      <c r="F11" s="7">
        <v>1189103</v>
      </c>
      <c r="G11" s="7">
        <v>1048800</v>
      </c>
      <c r="H11" s="7">
        <f>1090200</f>
        <v>1090200</v>
      </c>
      <c r="I11" s="7">
        <f>1269600</f>
        <v>1269600</v>
      </c>
      <c r="J11" s="7">
        <v>1986587</v>
      </c>
      <c r="K11" s="7">
        <v>828000</v>
      </c>
      <c r="L11" s="7">
        <v>745200</v>
      </c>
      <c r="M11" s="7">
        <v>1186800</v>
      </c>
      <c r="N11" s="7">
        <f>1628400+33805</f>
        <v>1662205</v>
      </c>
      <c r="O11" s="7">
        <f>1987200</f>
        <v>1987200</v>
      </c>
      <c r="P11" s="7">
        <v>1558600</v>
      </c>
      <c r="Q11" s="7">
        <f>1504200</f>
        <v>1504200</v>
      </c>
      <c r="R11" s="7">
        <f t="shared" si="1"/>
        <v>16056495</v>
      </c>
    </row>
    <row r="12" spans="1:18">
      <c r="A12" s="5" t="s">
        <v>35</v>
      </c>
      <c r="B12" s="6" t="s">
        <v>36</v>
      </c>
      <c r="C12" s="41">
        <v>47300000</v>
      </c>
      <c r="D12" s="7">
        <v>0</v>
      </c>
      <c r="E12" s="7">
        <f t="shared" si="0"/>
        <v>47300000</v>
      </c>
      <c r="F12" s="7">
        <v>1503503</v>
      </c>
      <c r="G12" s="7">
        <v>1531800</v>
      </c>
      <c r="H12" s="7">
        <v>1490400</v>
      </c>
      <c r="I12" s="7">
        <v>1890600</v>
      </c>
      <c r="J12" s="7">
        <v>2235698</v>
      </c>
      <c r="K12" s="7">
        <v>1242000</v>
      </c>
      <c r="L12" s="7">
        <v>1338600</v>
      </c>
      <c r="M12" s="7">
        <v>1738800</v>
      </c>
      <c r="N12" s="7">
        <v>1987200</v>
      </c>
      <c r="O12" s="7">
        <v>2456100</v>
      </c>
      <c r="P12" s="7">
        <v>2014000</v>
      </c>
      <c r="Q12" s="7">
        <v>1932000</v>
      </c>
      <c r="R12" s="7">
        <f t="shared" si="1"/>
        <v>21360701</v>
      </c>
    </row>
    <row r="13" spans="1:18">
      <c r="A13" s="5" t="s">
        <v>37</v>
      </c>
      <c r="B13" s="6" t="s">
        <v>38</v>
      </c>
      <c r="C13" s="41">
        <v>44000000</v>
      </c>
      <c r="D13" s="7">
        <v>0</v>
      </c>
      <c r="E13" s="7">
        <f t="shared" si="0"/>
        <v>44000000</v>
      </c>
      <c r="F13" s="7">
        <v>4802348</v>
      </c>
      <c r="G13" s="7">
        <v>4925476</v>
      </c>
      <c r="H13" s="7">
        <v>5484806</v>
      </c>
      <c r="I13" s="7">
        <v>5729942</v>
      </c>
      <c r="J13" s="7">
        <v>6329596</v>
      </c>
      <c r="K13" s="7">
        <v>7345730</v>
      </c>
      <c r="L13" s="7">
        <v>5382250</v>
      </c>
      <c r="M13" s="7">
        <v>7873958</v>
      </c>
      <c r="N13" s="7">
        <f>6647650+268469</f>
        <v>6916119</v>
      </c>
      <c r="O13" s="7">
        <v>6997222</v>
      </c>
      <c r="P13" s="7">
        <v>6404822</v>
      </c>
      <c r="Q13" s="7">
        <v>10868216</v>
      </c>
      <c r="R13" s="7">
        <f t="shared" si="1"/>
        <v>79060485</v>
      </c>
    </row>
    <row r="14" spans="1:18">
      <c r="A14" s="5" t="s">
        <v>39</v>
      </c>
      <c r="B14" s="6" t="s">
        <v>40</v>
      </c>
      <c r="C14" s="41">
        <v>5962000</v>
      </c>
      <c r="D14" s="7">
        <v>0</v>
      </c>
      <c r="E14" s="7">
        <f t="shared" si="0"/>
        <v>5962000</v>
      </c>
      <c r="F14" s="7">
        <v>235487</v>
      </c>
      <c r="G14" s="7">
        <v>135220</v>
      </c>
      <c r="H14" s="7">
        <v>165875</v>
      </c>
      <c r="I14" s="7">
        <v>89756</v>
      </c>
      <c r="J14" s="7">
        <v>114687</v>
      </c>
      <c r="K14" s="7">
        <v>126894</v>
      </c>
      <c r="L14" s="7">
        <v>156894</v>
      </c>
      <c r="M14" s="7">
        <v>136587</v>
      </c>
      <c r="N14" s="7">
        <v>206458</v>
      </c>
      <c r="O14" s="7">
        <v>198524</v>
      </c>
      <c r="P14" s="7">
        <v>67610</v>
      </c>
      <c r="Q14" s="7">
        <v>108428</v>
      </c>
      <c r="R14" s="7">
        <f t="shared" si="1"/>
        <v>1742420</v>
      </c>
    </row>
    <row r="15" spans="1:18">
      <c r="A15" s="5" t="s">
        <v>41</v>
      </c>
      <c r="B15" s="6" t="s">
        <v>42</v>
      </c>
      <c r="C15" s="41">
        <v>385000000</v>
      </c>
      <c r="D15" s="7">
        <v>0</v>
      </c>
      <c r="E15" s="7">
        <f t="shared" si="0"/>
        <v>385000000</v>
      </c>
      <c r="F15" s="7">
        <v>36587452</v>
      </c>
      <c r="G15" s="7">
        <v>55798013</v>
      </c>
      <c r="H15" s="7">
        <v>48251393</v>
      </c>
      <c r="I15" s="7">
        <v>57487082</v>
      </c>
      <c r="J15" s="7">
        <v>49981812</v>
      </c>
      <c r="K15" s="7">
        <v>19117856</v>
      </c>
      <c r="L15" s="7">
        <v>21524500</v>
      </c>
      <c r="M15" s="7">
        <v>16372050</v>
      </c>
      <c r="N15" s="7">
        <v>20465872</v>
      </c>
      <c r="O15" s="7">
        <v>26319852</v>
      </c>
      <c r="P15" s="7">
        <v>17456238</v>
      </c>
      <c r="Q15" s="7">
        <f>25610*553</f>
        <v>14162330</v>
      </c>
      <c r="R15" s="7">
        <f t="shared" si="1"/>
        <v>383524450</v>
      </c>
    </row>
    <row r="16" spans="1:18">
      <c r="A16" s="5" t="s">
        <v>43</v>
      </c>
      <c r="B16" s="6" t="s">
        <v>44</v>
      </c>
      <c r="C16" s="41">
        <v>9350000</v>
      </c>
      <c r="D16" s="7">
        <v>0</v>
      </c>
      <c r="E16" s="7">
        <f t="shared" si="0"/>
        <v>9350000</v>
      </c>
      <c r="F16" s="7">
        <v>156730</v>
      </c>
      <c r="G16" s="7">
        <v>156730</v>
      </c>
      <c r="H16" s="7">
        <v>125384</v>
      </c>
      <c r="I16" s="7">
        <v>141057</v>
      </c>
      <c r="J16" s="7">
        <v>282114</v>
      </c>
      <c r="K16" s="7">
        <v>313460</v>
      </c>
      <c r="L16" s="7">
        <v>188076</v>
      </c>
      <c r="M16" s="7">
        <v>235095</v>
      </c>
      <c r="N16" s="7">
        <v>203749</v>
      </c>
      <c r="O16" s="7">
        <v>188076</v>
      </c>
      <c r="P16" s="7">
        <v>250768</v>
      </c>
      <c r="Q16" s="7">
        <v>172403</v>
      </c>
      <c r="R16" s="7">
        <f t="shared" si="1"/>
        <v>2413642</v>
      </c>
    </row>
    <row r="17" spans="1:18">
      <c r="A17" s="5" t="s">
        <v>45</v>
      </c>
      <c r="B17" s="6" t="s">
        <v>46</v>
      </c>
      <c r="C17" s="41">
        <v>539000000</v>
      </c>
      <c r="D17" s="7">
        <v>0</v>
      </c>
      <c r="E17" s="7">
        <f t="shared" si="0"/>
        <v>539000000</v>
      </c>
      <c r="F17" s="7">
        <v>67224819</v>
      </c>
      <c r="G17" s="7">
        <v>58709934</v>
      </c>
      <c r="H17" s="7">
        <f>45846044-1378885</f>
        <v>44467159</v>
      </c>
      <c r="I17" s="7">
        <v>37854628</v>
      </c>
      <c r="J17" s="7">
        <v>33925863</v>
      </c>
      <c r="K17" s="7">
        <v>61039694</v>
      </c>
      <c r="L17" s="7">
        <v>69048113</v>
      </c>
      <c r="M17" s="7">
        <v>45714944</v>
      </c>
      <c r="N17" s="7">
        <v>41175831</v>
      </c>
      <c r="O17" s="7">
        <v>53681166</v>
      </c>
      <c r="P17" s="7">
        <v>54712083</v>
      </c>
      <c r="Q17" s="7">
        <v>57786123</v>
      </c>
      <c r="R17" s="7">
        <f t="shared" si="1"/>
        <v>625340357</v>
      </c>
    </row>
    <row r="18" spans="1:18">
      <c r="A18" s="5" t="s">
        <v>47</v>
      </c>
      <c r="B18" s="6" t="s">
        <v>48</v>
      </c>
      <c r="C18" s="41">
        <v>563200</v>
      </c>
      <c r="D18" s="7">
        <v>0</v>
      </c>
      <c r="E18" s="7">
        <f t="shared" si="0"/>
        <v>563200</v>
      </c>
      <c r="F18" s="7">
        <v>4568971</v>
      </c>
      <c r="G18" s="7">
        <v>3897456</v>
      </c>
      <c r="H18" s="7">
        <v>4023698</v>
      </c>
      <c r="I18" s="7">
        <v>7896582</v>
      </c>
      <c r="J18" s="7">
        <v>5897563</v>
      </c>
      <c r="K18" s="7">
        <f>242*20488</f>
        <v>4958096</v>
      </c>
      <c r="L18" s="7">
        <f>384*20488</f>
        <v>7867392</v>
      </c>
      <c r="M18" s="7">
        <f>303*20488</f>
        <v>6207864</v>
      </c>
      <c r="N18" s="7">
        <f>20488*304</f>
        <v>6228352</v>
      </c>
      <c r="O18" s="7">
        <f>338*20488</f>
        <v>6924944</v>
      </c>
      <c r="P18" s="7">
        <f>255*20488</f>
        <v>5224440</v>
      </c>
      <c r="Q18" s="7">
        <f>20488*429</f>
        <v>8789352</v>
      </c>
      <c r="R18" s="7">
        <f t="shared" si="1"/>
        <v>72484710</v>
      </c>
    </row>
    <row r="19" spans="1:18">
      <c r="A19" s="5" t="s">
        <v>49</v>
      </c>
      <c r="B19" s="6" t="s">
        <v>50</v>
      </c>
      <c r="C19" s="41">
        <v>4015000</v>
      </c>
      <c r="D19" s="7">
        <v>0</v>
      </c>
      <c r="E19" s="7">
        <f t="shared" si="0"/>
        <v>4015000</v>
      </c>
      <c r="F19" s="7">
        <v>1258753</v>
      </c>
      <c r="G19" s="7">
        <v>1189632</v>
      </c>
      <c r="H19" s="7">
        <v>1894562</v>
      </c>
      <c r="I19" s="7">
        <v>2431554</v>
      </c>
      <c r="J19" s="7">
        <v>1756963</v>
      </c>
      <c r="K19" s="7">
        <v>638975</v>
      </c>
      <c r="L19" s="7">
        <v>354687</v>
      </c>
      <c r="M19" s="7">
        <v>820000</v>
      </c>
      <c r="N19" s="7">
        <v>588434</v>
      </c>
      <c r="O19" s="7">
        <v>1045682</v>
      </c>
      <c r="P19" s="7">
        <v>985642</v>
      </c>
      <c r="Q19" s="7">
        <v>1425729</v>
      </c>
      <c r="R19" s="7">
        <f t="shared" si="1"/>
        <v>14390613</v>
      </c>
    </row>
    <row r="20" spans="1:18">
      <c r="A20" s="5" t="s">
        <v>51</v>
      </c>
      <c r="B20" s="6" t="s">
        <v>52</v>
      </c>
      <c r="C20" s="41">
        <v>7579000</v>
      </c>
      <c r="D20" s="7">
        <v>0</v>
      </c>
      <c r="E20" s="7">
        <f t="shared" si="0"/>
        <v>7579000</v>
      </c>
      <c r="F20" s="7">
        <f>3044440</f>
        <v>3044440</v>
      </c>
      <c r="G20" s="7">
        <v>3218000</v>
      </c>
      <c r="H20" s="7">
        <f>3444000</f>
        <v>3444000</v>
      </c>
      <c r="I20" s="7">
        <v>4120500</v>
      </c>
      <c r="J20" s="7">
        <v>3443270</v>
      </c>
      <c r="K20" s="7">
        <v>3239000</v>
      </c>
      <c r="L20" s="7">
        <v>3464000</v>
      </c>
      <c r="M20" s="7">
        <v>3259500</v>
      </c>
      <c r="N20" s="7">
        <v>4448000</v>
      </c>
      <c r="O20" s="7">
        <v>6826500</v>
      </c>
      <c r="P20" s="7">
        <f>4469000</f>
        <v>4469000</v>
      </c>
      <c r="Q20" s="7">
        <v>4940500</v>
      </c>
      <c r="R20" s="7">
        <f t="shared" si="1"/>
        <v>47916710</v>
      </c>
    </row>
    <row r="21" spans="1:18">
      <c r="A21" s="5" t="s">
        <v>53</v>
      </c>
      <c r="B21" s="6" t="s">
        <v>54</v>
      </c>
      <c r="C21" s="41">
        <v>47300000</v>
      </c>
      <c r="D21" s="7">
        <v>0</v>
      </c>
      <c r="E21" s="7">
        <f t="shared" si="0"/>
        <v>47300000</v>
      </c>
      <c r="F21" s="7">
        <v>1141790</v>
      </c>
      <c r="G21" s="7">
        <v>4875963</v>
      </c>
      <c r="H21" s="7">
        <v>4451046</v>
      </c>
      <c r="I21" s="7">
        <v>5071533</v>
      </c>
      <c r="J21" s="7">
        <v>4972143</v>
      </c>
      <c r="K21" s="7">
        <v>6286914</v>
      </c>
      <c r="L21" s="7">
        <f>24367494*20%</f>
        <v>4873498.8</v>
      </c>
      <c r="M21" s="7">
        <v>7459872</v>
      </c>
      <c r="N21" s="7">
        <v>6187046</v>
      </c>
      <c r="O21" s="7">
        <v>4485997</v>
      </c>
      <c r="P21" s="7">
        <v>5383831</v>
      </c>
      <c r="Q21" s="7">
        <v>5942836</v>
      </c>
      <c r="R21" s="7">
        <f t="shared" si="1"/>
        <v>61132469.799999997</v>
      </c>
    </row>
    <row r="22" spans="1:18">
      <c r="A22" s="5" t="s">
        <v>55</v>
      </c>
      <c r="B22" s="6" t="s">
        <v>56</v>
      </c>
      <c r="C22" s="41">
        <v>12100000</v>
      </c>
      <c r="D22" s="7">
        <v>0</v>
      </c>
      <c r="E22" s="7">
        <f t="shared" si="0"/>
        <v>12100000</v>
      </c>
      <c r="F22" s="7">
        <v>658972</v>
      </c>
      <c r="G22" s="7">
        <v>358974</v>
      </c>
      <c r="H22" s="7">
        <v>413684</v>
      </c>
      <c r="I22" s="7">
        <v>0</v>
      </c>
      <c r="J22" s="7">
        <v>326897</v>
      </c>
      <c r="K22" s="7">
        <v>66586</v>
      </c>
      <c r="L22" s="7">
        <v>133172</v>
      </c>
      <c r="M22" s="7">
        <v>199758</v>
      </c>
      <c r="N22" s="7">
        <v>178965</v>
      </c>
      <c r="O22" s="7">
        <v>136589</v>
      </c>
      <c r="P22" s="7">
        <v>145896</v>
      </c>
      <c r="Q22" s="7">
        <v>182210</v>
      </c>
      <c r="R22" s="7">
        <f t="shared" si="1"/>
        <v>2801703</v>
      </c>
    </row>
    <row r="23" spans="1:18">
      <c r="A23" s="5" t="s">
        <v>57</v>
      </c>
      <c r="B23" s="6" t="s">
        <v>58</v>
      </c>
      <c r="C23" s="41">
        <v>17600000</v>
      </c>
      <c r="D23" s="7">
        <v>0</v>
      </c>
      <c r="E23" s="7">
        <f t="shared" si="0"/>
        <v>17600000</v>
      </c>
      <c r="F23" s="7">
        <v>2568749</v>
      </c>
      <c r="G23" s="7">
        <v>2145873</v>
      </c>
      <c r="H23" s="7">
        <v>3205467</v>
      </c>
      <c r="I23" s="7">
        <v>569052</v>
      </c>
      <c r="J23" s="7">
        <v>1568972</v>
      </c>
      <c r="K23" s="7">
        <v>1256894</v>
      </c>
      <c r="L23" s="7">
        <v>1356874</v>
      </c>
      <c r="M23" s="7">
        <f>1456879</f>
        <v>1456879</v>
      </c>
      <c r="N23" s="7">
        <v>1258976</v>
      </c>
      <c r="O23" s="7">
        <v>1385694</v>
      </c>
      <c r="P23" s="7">
        <v>1056897</v>
      </c>
      <c r="Q23" s="7">
        <v>1784221</v>
      </c>
      <c r="R23" s="7">
        <f t="shared" si="1"/>
        <v>19614548</v>
      </c>
    </row>
    <row r="24" spans="1:18">
      <c r="A24" s="5" t="s">
        <v>59</v>
      </c>
      <c r="B24" s="6" t="s">
        <v>60</v>
      </c>
      <c r="C24" s="41">
        <v>30800000</v>
      </c>
      <c r="D24" s="7">
        <v>0</v>
      </c>
      <c r="E24" s="7">
        <f t="shared" si="0"/>
        <v>30800000</v>
      </c>
      <c r="F24" s="7">
        <v>1388165</v>
      </c>
      <c r="G24" s="7">
        <v>3177717</v>
      </c>
      <c r="H24" s="7">
        <v>1329683</v>
      </c>
      <c r="I24" s="7">
        <v>2276237</v>
      </c>
      <c r="J24" s="7">
        <v>3065032</v>
      </c>
      <c r="K24" s="7">
        <v>3132643</v>
      </c>
      <c r="L24" s="7">
        <v>3380550</v>
      </c>
      <c r="M24" s="7">
        <v>2704440</v>
      </c>
      <c r="N24" s="7">
        <v>4236956</v>
      </c>
      <c r="O24" s="7">
        <v>3470698</v>
      </c>
      <c r="P24" s="7">
        <v>3132643</v>
      </c>
      <c r="Q24" s="7">
        <v>3718605</v>
      </c>
      <c r="R24" s="7">
        <f t="shared" si="1"/>
        <v>35013369</v>
      </c>
    </row>
    <row r="25" spans="1:18">
      <c r="A25" s="5" t="s">
        <v>61</v>
      </c>
      <c r="B25" s="6" t="s">
        <v>62</v>
      </c>
      <c r="C25" s="41">
        <v>104500000</v>
      </c>
      <c r="D25" s="7">
        <v>0</v>
      </c>
      <c r="E25" s="7">
        <f t="shared" si="0"/>
        <v>104500000</v>
      </c>
      <c r="F25" s="7">
        <v>13587592</v>
      </c>
      <c r="G25" s="7">
        <v>11489635</v>
      </c>
      <c r="H25" s="7">
        <v>10369874</v>
      </c>
      <c r="I25" s="7">
        <v>7563254</v>
      </c>
      <c r="J25" s="7">
        <v>6872289</v>
      </c>
      <c r="K25" s="7">
        <v>3256871</v>
      </c>
      <c r="L25" s="7">
        <v>3456879</v>
      </c>
      <c r="M25" s="7">
        <f>67*27659</f>
        <v>1853153</v>
      </c>
      <c r="N25" s="7">
        <f>27659*349</f>
        <v>9652991</v>
      </c>
      <c r="O25" s="7">
        <v>7985642</v>
      </c>
      <c r="P25" s="7">
        <v>6897456</v>
      </c>
      <c r="Q25" s="7">
        <f>27659*260</f>
        <v>7191340</v>
      </c>
      <c r="R25" s="7">
        <f t="shared" si="1"/>
        <v>90176976</v>
      </c>
    </row>
    <row r="26" spans="1:18">
      <c r="A26" s="5" t="s">
        <v>63</v>
      </c>
      <c r="B26" s="6" t="s">
        <v>64</v>
      </c>
      <c r="C26" s="41">
        <v>24200000</v>
      </c>
      <c r="D26" s="7">
        <v>0</v>
      </c>
      <c r="E26" s="7">
        <f t="shared" si="0"/>
        <v>24200000</v>
      </c>
      <c r="F26" s="7">
        <v>256864</v>
      </c>
      <c r="G26" s="7">
        <v>302547</v>
      </c>
      <c r="H26" s="7">
        <v>198754</v>
      </c>
      <c r="I26" s="7">
        <v>89563</v>
      </c>
      <c r="J26" s="7">
        <v>125879</v>
      </c>
      <c r="K26" s="7">
        <v>63582</v>
      </c>
      <c r="L26" s="7">
        <v>68754</v>
      </c>
      <c r="M26" s="7">
        <v>63582</v>
      </c>
      <c r="N26" s="7">
        <v>56874</v>
      </c>
      <c r="O26" s="7">
        <v>54213</v>
      </c>
      <c r="P26" s="7">
        <v>48562</v>
      </c>
      <c r="Q26" s="7">
        <v>68212</v>
      </c>
      <c r="R26" s="7">
        <f t="shared" si="1"/>
        <v>1397386</v>
      </c>
    </row>
    <row r="27" spans="1:18">
      <c r="A27" s="5" t="s">
        <v>65</v>
      </c>
      <c r="B27" s="6" t="s">
        <v>66</v>
      </c>
      <c r="C27" s="41">
        <v>3850000</v>
      </c>
      <c r="D27" s="7">
        <v>0</v>
      </c>
      <c r="E27" s="7">
        <f t="shared" si="0"/>
        <v>3850000</v>
      </c>
      <c r="F27" s="7">
        <v>326812</v>
      </c>
      <c r="G27" s="7">
        <v>69852</v>
      </c>
      <c r="H27" s="7">
        <v>284562</v>
      </c>
      <c r="I27" s="7">
        <v>98562</v>
      </c>
      <c r="J27" s="7">
        <v>201482</v>
      </c>
      <c r="K27" s="7">
        <v>232584</v>
      </c>
      <c r="L27" s="7">
        <v>325896</v>
      </c>
      <c r="M27" s="7">
        <v>264582</v>
      </c>
      <c r="N27" s="7">
        <v>458694</v>
      </c>
      <c r="O27" s="7">
        <v>789562</v>
      </c>
      <c r="P27" s="7">
        <v>452894</v>
      </c>
      <c r="Q27" s="7">
        <v>528921</v>
      </c>
      <c r="R27" s="7">
        <f t="shared" si="1"/>
        <v>4034403</v>
      </c>
    </row>
    <row r="28" spans="1:18">
      <c r="A28" s="5" t="s">
        <v>67</v>
      </c>
      <c r="B28" s="6" t="s">
        <v>68</v>
      </c>
      <c r="C28" s="41">
        <v>220000</v>
      </c>
      <c r="D28" s="7">
        <v>0</v>
      </c>
      <c r="E28" s="7">
        <f t="shared" si="0"/>
        <v>220000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1"/>
        <v>0</v>
      </c>
    </row>
    <row r="29" spans="1:18">
      <c r="A29" s="5" t="s">
        <v>69</v>
      </c>
      <c r="B29" s="6" t="s">
        <v>70</v>
      </c>
      <c r="C29" s="41">
        <v>3850000</v>
      </c>
      <c r="D29" s="7">
        <v>0</v>
      </c>
      <c r="E29" s="7">
        <f t="shared" si="0"/>
        <v>3850000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1"/>
        <v>0</v>
      </c>
    </row>
    <row r="30" spans="1:18">
      <c r="A30" s="5" t="s">
        <v>71</v>
      </c>
      <c r="B30" s="6" t="s">
        <v>72</v>
      </c>
      <c r="C30" s="41">
        <v>14300000</v>
      </c>
      <c r="D30" s="7">
        <v>0</v>
      </c>
      <c r="E30" s="7">
        <f t="shared" si="0"/>
        <v>14300000</v>
      </c>
      <c r="F30" s="7">
        <v>698324</v>
      </c>
      <c r="G30" s="7">
        <v>785636</v>
      </c>
      <c r="H30" s="7">
        <v>1301300</v>
      </c>
      <c r="I30" s="7">
        <v>856234</v>
      </c>
      <c r="J30" s="7">
        <v>823987</v>
      </c>
      <c r="K30" s="7">
        <v>412588</v>
      </c>
      <c r="L30" s="7">
        <v>326874</v>
      </c>
      <c r="M30" s="7">
        <v>256894</v>
      </c>
      <c r="N30" s="7">
        <v>198452</v>
      </c>
      <c r="O30" s="7">
        <v>546321</v>
      </c>
      <c r="P30" s="7">
        <v>294568</v>
      </c>
      <c r="Q30" s="7">
        <v>325428</v>
      </c>
      <c r="R30" s="7">
        <f t="shared" si="1"/>
        <v>6826606</v>
      </c>
    </row>
    <row r="31" spans="1:18">
      <c r="A31" s="5" t="s">
        <v>73</v>
      </c>
      <c r="B31" s="6" t="s">
        <v>74</v>
      </c>
      <c r="C31" s="41">
        <v>3300000</v>
      </c>
      <c r="D31" s="7">
        <v>0</v>
      </c>
      <c r="E31" s="7">
        <f t="shared" si="0"/>
        <v>3300000</v>
      </c>
      <c r="F31" s="7">
        <v>536892</v>
      </c>
      <c r="G31" s="7">
        <v>802634</v>
      </c>
      <c r="H31" s="7">
        <v>856033</v>
      </c>
      <c r="I31" s="7">
        <v>982534</v>
      </c>
      <c r="J31" s="7">
        <v>872369</v>
      </c>
      <c r="K31" s="7">
        <v>265846</v>
      </c>
      <c r="L31" s="7">
        <v>346892</v>
      </c>
      <c r="M31" s="7">
        <v>425869</v>
      </c>
      <c r="N31" s="7">
        <v>524876</v>
      </c>
      <c r="O31" s="7">
        <v>987426</v>
      </c>
      <c r="P31" s="7">
        <v>564288</v>
      </c>
      <c r="Q31" s="7">
        <v>728560</v>
      </c>
      <c r="R31" s="7">
        <f t="shared" si="1"/>
        <v>7894219</v>
      </c>
    </row>
    <row r="32" spans="1:18">
      <c r="A32" s="5" t="s">
        <v>75</v>
      </c>
      <c r="B32" s="6" t="s">
        <v>76</v>
      </c>
      <c r="C32" s="41">
        <v>110000</v>
      </c>
      <c r="D32" s="7">
        <v>0</v>
      </c>
      <c r="E32" s="7">
        <f t="shared" si="0"/>
        <v>110000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1"/>
        <v>0</v>
      </c>
    </row>
    <row r="33" spans="1:18">
      <c r="A33" s="5" t="s">
        <v>77</v>
      </c>
      <c r="B33" s="6" t="s">
        <v>78</v>
      </c>
      <c r="C33" s="41">
        <v>3300000</v>
      </c>
      <c r="D33" s="7">
        <v>0</v>
      </c>
      <c r="E33" s="7">
        <f t="shared" si="0"/>
        <v>3300000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1"/>
        <v>0</v>
      </c>
    </row>
    <row r="34" spans="1:18">
      <c r="A34" s="5" t="s">
        <v>79</v>
      </c>
      <c r="B34" s="6" t="s">
        <v>80</v>
      </c>
      <c r="C34" s="41">
        <v>5500000</v>
      </c>
      <c r="D34" s="7">
        <v>0</v>
      </c>
      <c r="E34" s="7">
        <f t="shared" si="0"/>
        <v>5500000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1178060</v>
      </c>
      <c r="Q34" s="7">
        <v>0</v>
      </c>
      <c r="R34" s="7">
        <f t="shared" si="1"/>
        <v>1178060</v>
      </c>
    </row>
    <row r="35" spans="1:18">
      <c r="A35" s="5" t="s">
        <v>81</v>
      </c>
      <c r="B35" s="6" t="s">
        <v>82</v>
      </c>
      <c r="C35" s="41">
        <v>110000000</v>
      </c>
      <c r="D35" s="7">
        <v>0</v>
      </c>
      <c r="E35" s="7">
        <f t="shared" si="0"/>
        <v>110000000</v>
      </c>
      <c r="F35" s="7">
        <v>4073200</v>
      </c>
      <c r="G35" s="7">
        <v>8249200</v>
      </c>
      <c r="H35" s="7">
        <v>3083200</v>
      </c>
      <c r="I35" s="7">
        <f>483800</f>
        <v>483800</v>
      </c>
      <c r="J35" s="7">
        <v>1008600</v>
      </c>
      <c r="K35" s="7">
        <v>7158600</v>
      </c>
      <c r="L35" s="7">
        <v>16250800</v>
      </c>
      <c r="M35" s="7">
        <v>623200</v>
      </c>
      <c r="N35" s="7">
        <v>459200</v>
      </c>
      <c r="O35" s="7">
        <v>459200</v>
      </c>
      <c r="P35" s="7">
        <v>2058200</v>
      </c>
      <c r="Q35" s="7">
        <v>2304200</v>
      </c>
      <c r="R35" s="7">
        <f t="shared" si="1"/>
        <v>46211400</v>
      </c>
    </row>
    <row r="36" spans="1:18">
      <c r="A36" s="5" t="s">
        <v>83</v>
      </c>
      <c r="B36" s="6" t="s">
        <v>84</v>
      </c>
      <c r="C36" s="41">
        <v>27500000</v>
      </c>
      <c r="D36" s="7">
        <v>0</v>
      </c>
      <c r="E36" s="7">
        <f t="shared" si="0"/>
        <v>27500000</v>
      </c>
      <c r="F36" s="7">
        <v>2658793</v>
      </c>
      <c r="G36" s="7">
        <v>1945628</v>
      </c>
      <c r="H36" s="7">
        <v>784626</v>
      </c>
      <c r="I36" s="7">
        <v>1236589</v>
      </c>
      <c r="J36" s="7">
        <v>856472</v>
      </c>
      <c r="K36" s="7">
        <v>689452</v>
      </c>
      <c r="L36" s="7">
        <v>734568</v>
      </c>
      <c r="M36" s="7">
        <v>689452</v>
      </c>
      <c r="N36" s="7">
        <v>224622</v>
      </c>
      <c r="O36" s="7">
        <v>412356</v>
      </c>
      <c r="P36" s="7">
        <v>138600</v>
      </c>
      <c r="Q36" s="7">
        <v>548752</v>
      </c>
      <c r="R36" s="7">
        <f t="shared" si="1"/>
        <v>10919910</v>
      </c>
    </row>
    <row r="37" spans="1:18">
      <c r="A37" s="5" t="s">
        <v>85</v>
      </c>
      <c r="B37" s="6" t="s">
        <v>86</v>
      </c>
      <c r="C37" s="41">
        <v>33000000</v>
      </c>
      <c r="D37" s="7">
        <v>0</v>
      </c>
      <c r="E37" s="7">
        <f t="shared" si="0"/>
        <v>33000000</v>
      </c>
      <c r="F37" s="7">
        <v>716008</v>
      </c>
      <c r="G37" s="7">
        <v>774400</v>
      </c>
      <c r="H37" s="7">
        <v>662400</v>
      </c>
      <c r="I37" s="7">
        <v>707200</v>
      </c>
      <c r="J37" s="7">
        <v>568973</v>
      </c>
      <c r="K37" s="7">
        <v>1462400</v>
      </c>
      <c r="L37" s="7">
        <v>960000</v>
      </c>
      <c r="M37" s="7">
        <v>1212800</v>
      </c>
      <c r="N37" s="7">
        <v>803200</v>
      </c>
      <c r="O37" s="7">
        <v>1097600</v>
      </c>
      <c r="P37" s="7">
        <v>1097600</v>
      </c>
      <c r="Q37" s="7">
        <v>1254782</v>
      </c>
      <c r="R37" s="7">
        <f t="shared" si="1"/>
        <v>11317363</v>
      </c>
    </row>
    <row r="38" spans="1:18">
      <c r="A38" s="5" t="s">
        <v>87</v>
      </c>
      <c r="B38" s="6" t="s">
        <v>88</v>
      </c>
      <c r="C38" s="41">
        <v>7700000</v>
      </c>
      <c r="D38" s="7">
        <v>0</v>
      </c>
      <c r="E38" s="7">
        <f t="shared" si="0"/>
        <v>7700000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37774058</v>
      </c>
      <c r="O38" s="7">
        <v>22145689</v>
      </c>
      <c r="P38" s="7">
        <v>51041661</v>
      </c>
      <c r="Q38" s="7">
        <v>78700830</v>
      </c>
      <c r="R38" s="7">
        <f t="shared" si="1"/>
        <v>189662238</v>
      </c>
    </row>
    <row r="39" spans="1:18">
      <c r="A39" s="5" t="s">
        <v>89</v>
      </c>
      <c r="B39" s="6" t="s">
        <v>90</v>
      </c>
      <c r="C39" s="41">
        <v>5500000</v>
      </c>
      <c r="D39" s="7">
        <v>0</v>
      </c>
      <c r="E39" s="7">
        <f t="shared" si="0"/>
        <v>5500000</v>
      </c>
      <c r="F39" s="7">
        <v>10200</v>
      </c>
      <c r="G39" s="7">
        <v>20400</v>
      </c>
      <c r="H39" s="7">
        <v>20400</v>
      </c>
      <c r="I39" s="7">
        <v>71400</v>
      </c>
      <c r="J39" s="7">
        <v>10200</v>
      </c>
      <c r="K39" s="7">
        <v>101400</v>
      </c>
      <c r="L39" s="7">
        <v>91400</v>
      </c>
      <c r="M39" s="7">
        <f>20400+40800</f>
        <v>61200</v>
      </c>
      <c r="N39" s="7">
        <v>40600</v>
      </c>
      <c r="O39" s="7">
        <v>20400</v>
      </c>
      <c r="P39" s="7">
        <v>19800</v>
      </c>
      <c r="Q39" s="7">
        <v>22450</v>
      </c>
      <c r="R39" s="7">
        <f t="shared" si="1"/>
        <v>489850</v>
      </c>
    </row>
    <row r="40" spans="1:18">
      <c r="A40" s="5" t="s">
        <v>91</v>
      </c>
      <c r="B40" s="6" t="s">
        <v>92</v>
      </c>
      <c r="C40" s="41">
        <v>6600000</v>
      </c>
      <c r="D40" s="7">
        <v>0</v>
      </c>
      <c r="E40" s="7">
        <f t="shared" si="0"/>
        <v>6600000</v>
      </c>
      <c r="F40" s="7">
        <v>358976</v>
      </c>
      <c r="G40" s="7">
        <v>426584</v>
      </c>
      <c r="H40" s="7">
        <f>13800+165600</f>
        <v>179400</v>
      </c>
      <c r="I40" s="7">
        <v>13800</v>
      </c>
      <c r="J40" s="7">
        <v>41400</v>
      </c>
      <c r="K40" s="7">
        <v>13800</v>
      </c>
      <c r="L40" s="7">
        <v>13800</v>
      </c>
      <c r="M40" s="7">
        <v>13800</v>
      </c>
      <c r="N40" s="7">
        <v>13800</v>
      </c>
      <c r="O40" s="7">
        <v>27600</v>
      </c>
      <c r="P40" s="7">
        <v>41400</v>
      </c>
      <c r="Q40" s="7">
        <v>65800</v>
      </c>
      <c r="R40" s="7">
        <f t="shared" si="1"/>
        <v>1210160</v>
      </c>
    </row>
    <row r="41" spans="1:18">
      <c r="A41" s="5" t="s">
        <v>93</v>
      </c>
      <c r="B41" s="6" t="s">
        <v>94</v>
      </c>
      <c r="C41" s="41">
        <v>1320000</v>
      </c>
      <c r="D41" s="7">
        <v>0</v>
      </c>
      <c r="E41" s="7">
        <f t="shared" si="0"/>
        <v>1320000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>
      <c r="A42" s="5" t="s">
        <v>95</v>
      </c>
      <c r="B42" s="6" t="s">
        <v>96</v>
      </c>
      <c r="C42" s="41">
        <v>2200000</v>
      </c>
      <c r="D42" s="7">
        <v>0</v>
      </c>
      <c r="E42" s="7">
        <f t="shared" si="0"/>
        <v>2200000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>
      <c r="A43" s="5" t="s">
        <v>97</v>
      </c>
      <c r="B43" s="6" t="s">
        <v>98</v>
      </c>
      <c r="C43" s="41">
        <v>33000000</v>
      </c>
      <c r="D43" s="7">
        <v>0</v>
      </c>
      <c r="E43" s="7">
        <f t="shared" si="0"/>
        <v>33000000</v>
      </c>
      <c r="F43" s="7">
        <v>2896587</v>
      </c>
      <c r="G43" s="7">
        <v>1425864</v>
      </c>
      <c r="H43" s="7">
        <v>1098762</v>
      </c>
      <c r="I43" s="7">
        <v>987456</v>
      </c>
      <c r="J43" s="7">
        <v>875692</v>
      </c>
      <c r="K43" s="7">
        <v>423586</v>
      </c>
      <c r="L43" s="7">
        <v>598762</v>
      </c>
      <c r="M43" s="7">
        <v>385694</v>
      </c>
      <c r="N43" s="7">
        <v>459488</v>
      </c>
      <c r="O43" s="7">
        <v>312468</v>
      </c>
      <c r="P43" s="7">
        <v>286549</v>
      </c>
      <c r="Q43" s="7">
        <v>320422</v>
      </c>
      <c r="R43" s="7">
        <f t="shared" si="1"/>
        <v>10071330</v>
      </c>
    </row>
    <row r="44" spans="1:18">
      <c r="A44" s="5" t="s">
        <v>99</v>
      </c>
      <c r="B44" s="6" t="s">
        <v>100</v>
      </c>
      <c r="C44" s="41">
        <v>2420000</v>
      </c>
      <c r="D44" s="7">
        <v>0</v>
      </c>
      <c r="E44" s="7">
        <f t="shared" si="0"/>
        <v>2420000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>
      <c r="A45" s="5" t="s">
        <v>101</v>
      </c>
      <c r="B45" s="6" t="s">
        <v>102</v>
      </c>
      <c r="C45" s="41">
        <v>20350000</v>
      </c>
      <c r="D45" s="7">
        <v>0</v>
      </c>
      <c r="E45" s="7">
        <f t="shared" si="0"/>
        <v>20350000</v>
      </c>
      <c r="F45" s="7">
        <v>2694481</v>
      </c>
      <c r="G45" s="7">
        <v>153000</v>
      </c>
      <c r="H45" s="7">
        <v>256341</v>
      </c>
      <c r="I45" s="7">
        <v>358942</v>
      </c>
      <c r="J45" s="7">
        <v>284692</v>
      </c>
      <c r="K45" s="7">
        <v>186952</v>
      </c>
      <c r="L45" s="7">
        <v>175642</v>
      </c>
      <c r="M45" s="7">
        <v>86974</v>
      </c>
      <c r="N45" s="7">
        <v>108972</v>
      </c>
      <c r="O45" s="7">
        <v>145632</v>
      </c>
      <c r="P45" s="7">
        <v>185624</v>
      </c>
      <c r="Q45" s="7">
        <v>126428</v>
      </c>
      <c r="R45" s="7">
        <f t="shared" si="1"/>
        <v>4763680</v>
      </c>
    </row>
    <row r="46" spans="1:18">
      <c r="A46" s="5" t="s">
        <v>103</v>
      </c>
      <c r="B46" s="6" t="s">
        <v>104</v>
      </c>
      <c r="C46" s="41">
        <v>4950000</v>
      </c>
      <c r="D46" s="7">
        <v>0</v>
      </c>
      <c r="E46" s="7">
        <f t="shared" si="0"/>
        <v>4950000</v>
      </c>
      <c r="F46" s="7">
        <v>1321521</v>
      </c>
      <c r="G46" s="7">
        <v>1199900</v>
      </c>
      <c r="H46" s="7">
        <v>895264</v>
      </c>
      <c r="I46" s="7">
        <v>1504100</v>
      </c>
      <c r="J46" s="7">
        <v>937854</v>
      </c>
      <c r="K46" s="7">
        <v>997100</v>
      </c>
      <c r="L46" s="7">
        <f>845000+6150</f>
        <v>851150</v>
      </c>
      <c r="M46" s="7">
        <f>53300+1402700</f>
        <v>1456000</v>
      </c>
      <c r="N46" s="7">
        <v>18450</v>
      </c>
      <c r="O46" s="7">
        <v>2050</v>
      </c>
      <c r="P46" s="7">
        <v>15460</v>
      </c>
      <c r="Q46" s="7">
        <v>1842100</v>
      </c>
      <c r="R46" s="7">
        <f t="shared" si="1"/>
        <v>11040949</v>
      </c>
    </row>
    <row r="47" spans="1:18">
      <c r="A47" s="5" t="s">
        <v>105</v>
      </c>
      <c r="B47" s="6" t="s">
        <v>106</v>
      </c>
      <c r="C47" s="41">
        <v>22000000</v>
      </c>
      <c r="D47" s="7">
        <v>0</v>
      </c>
      <c r="E47" s="7">
        <f t="shared" si="0"/>
        <v>22000000</v>
      </c>
      <c r="F47" s="7">
        <v>1546897</v>
      </c>
      <c r="G47" s="7">
        <v>2564879</v>
      </c>
      <c r="H47" s="7"/>
      <c r="I47" s="7">
        <v>1986547</v>
      </c>
      <c r="J47" s="7">
        <v>984256</v>
      </c>
      <c r="K47" s="7">
        <v>1685629</v>
      </c>
      <c r="L47" s="7">
        <v>1096584</v>
      </c>
      <c r="M47" s="7">
        <v>985424</v>
      </c>
      <c r="N47" s="7">
        <v>1864792</v>
      </c>
      <c r="O47" s="7">
        <v>2546689</v>
      </c>
      <c r="P47" s="7">
        <v>1660951</v>
      </c>
      <c r="Q47" s="7">
        <v>1750842</v>
      </c>
      <c r="R47" s="7">
        <f t="shared" si="1"/>
        <v>18673490</v>
      </c>
    </row>
    <row r="48" spans="1:18">
      <c r="A48" s="9"/>
      <c r="B48" s="10" t="s">
        <v>107</v>
      </c>
      <c r="C48" s="11">
        <f t="shared" ref="C48:R48" si="2">SUM(C5:C47)</f>
        <v>5675240000</v>
      </c>
      <c r="D48" s="11">
        <f t="shared" si="2"/>
        <v>0</v>
      </c>
      <c r="E48" s="11">
        <f t="shared" si="2"/>
        <v>5675240000</v>
      </c>
      <c r="F48" s="11">
        <f t="shared" si="2"/>
        <v>453879857</v>
      </c>
      <c r="G48" s="11">
        <f t="shared" si="2"/>
        <v>410820470</v>
      </c>
      <c r="H48" s="11">
        <f t="shared" si="2"/>
        <v>580434135</v>
      </c>
      <c r="I48" s="11">
        <f t="shared" si="2"/>
        <v>464544080</v>
      </c>
      <c r="J48" s="11">
        <f t="shared" si="2"/>
        <v>426413403</v>
      </c>
      <c r="K48" s="11">
        <f t="shared" si="2"/>
        <v>408735220</v>
      </c>
      <c r="L48" s="11">
        <f t="shared" si="2"/>
        <v>433205363.80000001</v>
      </c>
      <c r="M48" s="11">
        <f t="shared" si="2"/>
        <v>836124627</v>
      </c>
      <c r="N48" s="11">
        <f>SUM(N5:N47)</f>
        <v>496878654</v>
      </c>
      <c r="O48" s="11">
        <f t="shared" si="2"/>
        <v>526176950</v>
      </c>
      <c r="P48" s="11">
        <f t="shared" si="2"/>
        <v>456675277</v>
      </c>
      <c r="Q48" s="11">
        <f t="shared" si="2"/>
        <v>612835749</v>
      </c>
      <c r="R48" s="11">
        <f t="shared" si="2"/>
        <v>6106723785.8000002</v>
      </c>
    </row>
    <row r="49" spans="1:18">
      <c r="A49" s="1">
        <v>2</v>
      </c>
      <c r="B49" s="43" t="s">
        <v>108</v>
      </c>
      <c r="C49" s="33"/>
      <c r="D49" s="33"/>
      <c r="E49" s="33"/>
    </row>
    <row r="50" spans="1:18">
      <c r="A50" s="1">
        <v>2.1</v>
      </c>
      <c r="B50" s="6" t="s">
        <v>109</v>
      </c>
      <c r="C50" s="33"/>
      <c r="D50" s="33"/>
      <c r="E50" s="7">
        <f>C50+D50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>
        <f>SUM(F50:Q50)</f>
        <v>0</v>
      </c>
    </row>
    <row r="51" spans="1:18">
      <c r="A51" s="1">
        <v>2.2000000000000002</v>
      </c>
      <c r="B51" s="6" t="s">
        <v>110</v>
      </c>
      <c r="C51" s="44">
        <v>195000000</v>
      </c>
      <c r="D51" s="19">
        <v>1129305799</v>
      </c>
      <c r="E51" s="7">
        <f>C51+D51</f>
        <v>1324305799</v>
      </c>
      <c r="F51" s="7"/>
      <c r="G51" s="7">
        <v>1129305799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f>SUM(F51:Q51)</f>
        <v>1129305799</v>
      </c>
    </row>
    <row r="52" spans="1:18">
      <c r="A52" s="1">
        <v>22.1</v>
      </c>
      <c r="B52" s="6" t="s">
        <v>111</v>
      </c>
      <c r="C52" s="44">
        <v>2060860000</v>
      </c>
      <c r="D52" s="33"/>
      <c r="E52" s="7">
        <f>C52+D52</f>
        <v>2060860000</v>
      </c>
      <c r="F52" s="7">
        <f>1364072+7729598+4628161+891942+5054286+28903709</f>
        <v>48571768</v>
      </c>
      <c r="G52" s="7">
        <f>1361041+7712539+2027718+57875+327960+6335518</f>
        <v>17822651</v>
      </c>
      <c r="H52" s="7">
        <f>1187891+6731383+4244220</f>
        <v>12163494</v>
      </c>
      <c r="I52" s="7">
        <f>1550124+8784062+3222468+1250535+7086329</f>
        <v>21893518</v>
      </c>
      <c r="J52" s="7">
        <f>1879618+10651153+2010128+1018394+5770878</f>
        <v>21330171</v>
      </c>
      <c r="K52" s="7">
        <v>61277699</v>
      </c>
      <c r="L52" s="7">
        <v>52727568</v>
      </c>
      <c r="M52" s="7">
        <v>48957279</v>
      </c>
      <c r="N52" s="7">
        <v>67088969</v>
      </c>
      <c r="O52" s="7">
        <v>77425264</v>
      </c>
      <c r="P52" s="7">
        <v>68952354</v>
      </c>
      <c r="Q52" s="7">
        <f>3272141+18509441+3397014+52498+297484+39424580+20000000+43262-1750842</f>
        <v>83245578</v>
      </c>
      <c r="R52" s="7">
        <f>SUM(F52:Q52)</f>
        <v>581456313</v>
      </c>
    </row>
    <row r="53" spans="1:18">
      <c r="A53" s="1">
        <v>22.2</v>
      </c>
      <c r="B53" s="6" t="s">
        <v>112</v>
      </c>
      <c r="C53" s="44">
        <v>5500000</v>
      </c>
      <c r="D53" s="33"/>
      <c r="E53" s="7">
        <f>C53+D53</f>
        <v>5500000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f>SUM(F53:Q53)</f>
        <v>0</v>
      </c>
    </row>
    <row r="54" spans="1:18">
      <c r="A54" s="1">
        <v>2.2999999999999998</v>
      </c>
      <c r="B54" s="6" t="s">
        <v>113</v>
      </c>
      <c r="C54" s="44">
        <v>1000000</v>
      </c>
      <c r="D54" s="33"/>
      <c r="E54" s="7">
        <f>C54+D54</f>
        <v>1000000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f>SUM(F54:Q54)</f>
        <v>0</v>
      </c>
    </row>
    <row r="55" spans="1:18">
      <c r="A55" s="9"/>
      <c r="B55" s="10" t="s">
        <v>114</v>
      </c>
      <c r="C55" s="11">
        <f t="shared" ref="C55:R55" si="3">SUM(C51:C54)</f>
        <v>2262360000</v>
      </c>
      <c r="D55" s="11">
        <f t="shared" si="3"/>
        <v>1129305799</v>
      </c>
      <c r="E55" s="11">
        <f t="shared" si="3"/>
        <v>3391665799</v>
      </c>
      <c r="F55" s="11">
        <f t="shared" si="3"/>
        <v>48571768</v>
      </c>
      <c r="G55" s="11">
        <f t="shared" si="3"/>
        <v>1147128450</v>
      </c>
      <c r="H55" s="11">
        <f t="shared" si="3"/>
        <v>12163494</v>
      </c>
      <c r="I55" s="11">
        <f t="shared" si="3"/>
        <v>21893518</v>
      </c>
      <c r="J55" s="11">
        <f t="shared" si="3"/>
        <v>21330171</v>
      </c>
      <c r="K55" s="11">
        <f t="shared" si="3"/>
        <v>61277699</v>
      </c>
      <c r="L55" s="11">
        <f t="shared" si="3"/>
        <v>52727568</v>
      </c>
      <c r="M55" s="11">
        <f t="shared" si="3"/>
        <v>48957279</v>
      </c>
      <c r="N55" s="11">
        <f t="shared" si="3"/>
        <v>67088969</v>
      </c>
      <c r="O55" s="11">
        <f t="shared" si="3"/>
        <v>77425264</v>
      </c>
      <c r="P55" s="11">
        <f t="shared" si="3"/>
        <v>68952354</v>
      </c>
      <c r="Q55" s="11">
        <f t="shared" si="3"/>
        <v>83245578</v>
      </c>
      <c r="R55" s="11">
        <f t="shared" si="3"/>
        <v>1710762112</v>
      </c>
    </row>
    <row r="56" spans="1:18" ht="15.75">
      <c r="A56" s="104" t="s">
        <v>219</v>
      </c>
      <c r="B56" s="104"/>
      <c r="C56" s="45">
        <f t="shared" ref="C56:R56" si="4">C48+C55</f>
        <v>7937600000</v>
      </c>
      <c r="D56" s="45">
        <f t="shared" si="4"/>
        <v>1129305799</v>
      </c>
      <c r="E56" s="45">
        <f t="shared" si="4"/>
        <v>9066905799</v>
      </c>
      <c r="F56" s="45">
        <f t="shared" si="4"/>
        <v>502451625</v>
      </c>
      <c r="G56" s="45">
        <f t="shared" si="4"/>
        <v>1557948920</v>
      </c>
      <c r="H56" s="45">
        <f t="shared" si="4"/>
        <v>592597629</v>
      </c>
      <c r="I56" s="45">
        <f t="shared" si="4"/>
        <v>486437598</v>
      </c>
      <c r="J56" s="45">
        <f t="shared" si="4"/>
        <v>447743574</v>
      </c>
      <c r="K56" s="45">
        <f t="shared" si="4"/>
        <v>470012919</v>
      </c>
      <c r="L56" s="45">
        <f t="shared" si="4"/>
        <v>485932931.80000001</v>
      </c>
      <c r="M56" s="45">
        <f t="shared" si="4"/>
        <v>885081906</v>
      </c>
      <c r="N56" s="45">
        <f t="shared" si="4"/>
        <v>563967623</v>
      </c>
      <c r="O56" s="45">
        <f t="shared" si="4"/>
        <v>603602214</v>
      </c>
      <c r="P56" s="45">
        <f t="shared" si="4"/>
        <v>525627631</v>
      </c>
      <c r="Q56" s="45">
        <f t="shared" si="4"/>
        <v>696081327</v>
      </c>
      <c r="R56" s="45">
        <f t="shared" si="4"/>
        <v>7817485897.8000002</v>
      </c>
    </row>
  </sheetData>
  <mergeCells count="20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N2:N3"/>
    <mergeCell ref="O2:O3"/>
    <mergeCell ref="A56:B56"/>
    <mergeCell ref="J2:J3"/>
    <mergeCell ref="K2:K3"/>
    <mergeCell ref="L2:L3"/>
    <mergeCell ref="M2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topLeftCell="H1" workbookViewId="0">
      <selection activeCell="U4" sqref="U1:U1048576"/>
    </sheetView>
  </sheetViews>
  <sheetFormatPr baseColWidth="10" defaultRowHeight="15"/>
  <cols>
    <col min="2" max="2" width="23.28515625" customWidth="1"/>
    <col min="3" max="3" width="15.28515625" customWidth="1"/>
    <col min="4" max="4" width="15.7109375" customWidth="1"/>
    <col min="5" max="5" width="13.140625" customWidth="1"/>
    <col min="7" max="7" width="18.42578125" customWidth="1"/>
    <col min="8" max="8" width="16.85546875" customWidth="1"/>
    <col min="9" max="9" width="17.42578125" customWidth="1"/>
    <col min="10" max="10" width="15.7109375" customWidth="1"/>
    <col min="11" max="11" width="16" customWidth="1"/>
    <col min="12" max="12" width="15" customWidth="1"/>
    <col min="13" max="13" width="13.85546875" customWidth="1"/>
    <col min="14" max="14" width="14.5703125" customWidth="1"/>
    <col min="15" max="15" width="15.7109375" customWidth="1"/>
    <col min="16" max="16" width="15.28515625" customWidth="1"/>
    <col min="17" max="17" width="15" customWidth="1"/>
    <col min="18" max="19" width="15.7109375" customWidth="1"/>
    <col min="20" max="20" width="19.28515625" customWidth="1"/>
  </cols>
  <sheetData>
    <row r="1" spans="1:20" ht="18.75">
      <c r="A1" s="110" t="s">
        <v>220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5" customHeight="1">
      <c r="A2" s="108" t="s">
        <v>3</v>
      </c>
      <c r="B2" s="108" t="s">
        <v>118</v>
      </c>
      <c r="C2" s="108" t="s">
        <v>221</v>
      </c>
      <c r="D2" s="111" t="s">
        <v>222</v>
      </c>
      <c r="E2" s="111"/>
      <c r="F2" s="108" t="s">
        <v>6</v>
      </c>
      <c r="G2" s="108" t="s">
        <v>223</v>
      </c>
      <c r="H2" s="108" t="s">
        <v>224</v>
      </c>
      <c r="I2" s="108" t="s">
        <v>225</v>
      </c>
      <c r="J2" s="108" t="s">
        <v>226</v>
      </c>
      <c r="K2" s="108" t="s">
        <v>227</v>
      </c>
      <c r="L2" s="108" t="s">
        <v>228</v>
      </c>
      <c r="M2" s="108" t="s">
        <v>229</v>
      </c>
      <c r="N2" s="108" t="s">
        <v>230</v>
      </c>
      <c r="O2" s="108" t="s">
        <v>231</v>
      </c>
      <c r="P2" s="108" t="s">
        <v>232</v>
      </c>
      <c r="Q2" s="108" t="s">
        <v>233</v>
      </c>
      <c r="R2" s="108" t="s">
        <v>234</v>
      </c>
      <c r="S2" s="108" t="s">
        <v>235</v>
      </c>
      <c r="T2" s="108" t="s">
        <v>236</v>
      </c>
    </row>
    <row r="3" spans="1:20">
      <c r="A3" s="109"/>
      <c r="B3" s="109"/>
      <c r="C3" s="109"/>
      <c r="D3" s="46" t="s">
        <v>136</v>
      </c>
      <c r="E3" s="46" t="s">
        <v>237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29.25" customHeight="1">
      <c r="A4" s="36"/>
      <c r="B4" s="36" t="s">
        <v>135</v>
      </c>
      <c r="C4" s="33"/>
      <c r="D4" s="33"/>
      <c r="E4" s="33"/>
      <c r="F4" s="47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>
      <c r="A5" s="33"/>
      <c r="B5" s="48" t="s">
        <v>138</v>
      </c>
      <c r="C5" s="33"/>
      <c r="D5" s="33"/>
      <c r="E5" s="33"/>
      <c r="F5" s="4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>
      <c r="A6" s="48">
        <v>30501</v>
      </c>
      <c r="B6" s="48" t="s">
        <v>139</v>
      </c>
      <c r="C6" s="49">
        <f t="shared" ref="C6:T6" si="0">SUM(C7:C17)</f>
        <v>2854800000</v>
      </c>
      <c r="D6" s="49">
        <f t="shared" si="0"/>
        <v>0</v>
      </c>
      <c r="E6" s="49">
        <f t="shared" si="0"/>
        <v>70000000</v>
      </c>
      <c r="F6" s="50">
        <f t="shared" si="0"/>
        <v>0</v>
      </c>
      <c r="G6" s="50">
        <f t="shared" si="0"/>
        <v>2784800000</v>
      </c>
      <c r="H6" s="50">
        <f t="shared" si="0"/>
        <v>175555135</v>
      </c>
      <c r="I6" s="50">
        <f t="shared" si="0"/>
        <v>163213298</v>
      </c>
      <c r="J6" s="50">
        <f t="shared" si="0"/>
        <v>177335331</v>
      </c>
      <c r="K6" s="50">
        <f t="shared" si="0"/>
        <v>164279179</v>
      </c>
      <c r="L6" s="50">
        <f t="shared" si="0"/>
        <v>163278979</v>
      </c>
      <c r="M6" s="50">
        <f t="shared" si="0"/>
        <v>234234182</v>
      </c>
      <c r="N6" s="50">
        <f t="shared" si="0"/>
        <v>164120097</v>
      </c>
      <c r="O6" s="50">
        <f t="shared" si="0"/>
        <v>180682172</v>
      </c>
      <c r="P6" s="50">
        <f t="shared" si="0"/>
        <v>171496396</v>
      </c>
      <c r="Q6" s="50">
        <f t="shared" si="0"/>
        <v>181638740</v>
      </c>
      <c r="R6" s="50">
        <f t="shared" si="0"/>
        <v>177485434</v>
      </c>
      <c r="S6" s="50">
        <f t="shared" si="0"/>
        <v>612572862</v>
      </c>
      <c r="T6" s="50">
        <f t="shared" si="0"/>
        <v>2565891805</v>
      </c>
    </row>
    <row r="7" spans="1:20">
      <c r="A7" s="1">
        <v>30501180401</v>
      </c>
      <c r="B7" s="1" t="s">
        <v>140</v>
      </c>
      <c r="C7" s="51">
        <v>2090000000</v>
      </c>
      <c r="D7" s="51"/>
      <c r="E7" s="51"/>
      <c r="F7" s="47"/>
      <c r="G7" s="52">
        <f>C7+D7-E7+F7</f>
        <v>2090000000</v>
      </c>
      <c r="H7" s="52">
        <v>142910039</v>
      </c>
      <c r="I7" s="52">
        <v>141527437</v>
      </c>
      <c r="J7" s="52">
        <v>142036497</v>
      </c>
      <c r="K7" s="52">
        <v>144136024</v>
      </c>
      <c r="L7" s="52">
        <v>142359189</v>
      </c>
      <c r="M7" s="52">
        <v>139571276</v>
      </c>
      <c r="N7" s="52">
        <v>141355644</v>
      </c>
      <c r="O7" s="52">
        <v>141277126</v>
      </c>
      <c r="P7" s="52">
        <v>141841600</v>
      </c>
      <c r="Q7" s="52">
        <v>141968939</v>
      </c>
      <c r="R7" s="52">
        <v>142388854</v>
      </c>
      <c r="S7" s="52">
        <v>438724055</v>
      </c>
      <c r="T7" s="53">
        <f>SUM(H7:S7)</f>
        <v>2000096680</v>
      </c>
    </row>
    <row r="8" spans="1:20">
      <c r="A8" s="1">
        <v>30501180402</v>
      </c>
      <c r="B8" s="1" t="s">
        <v>141</v>
      </c>
      <c r="C8" s="51">
        <v>185000000</v>
      </c>
      <c r="D8" s="51"/>
      <c r="E8" s="51"/>
      <c r="F8" s="47"/>
      <c r="G8" s="52">
        <f t="shared" ref="G8:G29" si="1">C8+D8-E8+F8</f>
        <v>185000000</v>
      </c>
      <c r="H8" s="52">
        <v>0</v>
      </c>
      <c r="I8" s="52">
        <v>0</v>
      </c>
      <c r="J8" s="52">
        <v>0</v>
      </c>
      <c r="K8" s="52"/>
      <c r="L8" s="52"/>
      <c r="M8" s="52"/>
      <c r="N8" s="52"/>
      <c r="O8" s="52"/>
      <c r="P8" s="52"/>
      <c r="Q8" s="52"/>
      <c r="R8" s="52">
        <v>5477856</v>
      </c>
      <c r="S8" s="52">
        <v>145239583</v>
      </c>
      <c r="T8" s="53">
        <f t="shared" ref="T8:T19" si="2">SUM(H8:S8)</f>
        <v>150717439</v>
      </c>
    </row>
    <row r="9" spans="1:20">
      <c r="A9" s="1">
        <v>30501180403</v>
      </c>
      <c r="B9" s="1" t="s">
        <v>142</v>
      </c>
      <c r="C9" s="51">
        <v>95000000</v>
      </c>
      <c r="D9" s="51"/>
      <c r="E9" s="51"/>
      <c r="F9" s="47"/>
      <c r="G9" s="52">
        <f t="shared" si="1"/>
        <v>95000000</v>
      </c>
      <c r="H9" s="52">
        <v>9902786</v>
      </c>
      <c r="I9" s="52">
        <v>3705687</v>
      </c>
      <c r="J9" s="52">
        <v>5522826</v>
      </c>
      <c r="K9" s="52">
        <v>4464708</v>
      </c>
      <c r="L9" s="52">
        <v>5068231</v>
      </c>
      <c r="M9" s="52">
        <v>3764324</v>
      </c>
      <c r="N9" s="52">
        <v>5702420</v>
      </c>
      <c r="O9" s="52">
        <v>8840701</v>
      </c>
      <c r="P9" s="52">
        <v>10185480</v>
      </c>
      <c r="Q9" s="52">
        <v>6155973</v>
      </c>
      <c r="R9" s="52">
        <v>8394903</v>
      </c>
      <c r="S9" s="52">
        <v>5862813</v>
      </c>
      <c r="T9" s="53">
        <f t="shared" si="2"/>
        <v>77570852</v>
      </c>
    </row>
    <row r="10" spans="1:20">
      <c r="A10" s="1">
        <v>30501180404</v>
      </c>
      <c r="B10" s="1" t="s">
        <v>143</v>
      </c>
      <c r="C10" s="51">
        <v>12000000</v>
      </c>
      <c r="D10" s="51"/>
      <c r="E10" s="51"/>
      <c r="F10" s="47"/>
      <c r="G10" s="52">
        <f t="shared" si="1"/>
        <v>12000000</v>
      </c>
      <c r="H10" s="52">
        <v>0</v>
      </c>
      <c r="I10" s="52">
        <v>0</v>
      </c>
      <c r="J10" s="52">
        <v>0</v>
      </c>
      <c r="K10" s="52">
        <v>634048</v>
      </c>
      <c r="L10" s="52"/>
      <c r="M10" s="52">
        <v>4324623</v>
      </c>
      <c r="N10" s="52"/>
      <c r="O10" s="52"/>
      <c r="P10" s="52">
        <v>1175741</v>
      </c>
      <c r="Q10" s="52">
        <v>3102569</v>
      </c>
      <c r="R10" s="52"/>
      <c r="S10" s="52">
        <v>0</v>
      </c>
      <c r="T10" s="53">
        <f t="shared" si="2"/>
        <v>9236981</v>
      </c>
    </row>
    <row r="11" spans="1:20">
      <c r="A11" s="1">
        <v>30501180405</v>
      </c>
      <c r="B11" s="1" t="s">
        <v>144</v>
      </c>
      <c r="C11" s="51">
        <v>25000000</v>
      </c>
      <c r="D11" s="51"/>
      <c r="E11" s="51">
        <v>15000000</v>
      </c>
      <c r="F11" s="47"/>
      <c r="G11" s="52">
        <f t="shared" si="1"/>
        <v>10000000</v>
      </c>
      <c r="H11" s="52">
        <v>135600</v>
      </c>
      <c r="I11" s="52">
        <v>211500</v>
      </c>
      <c r="J11" s="52">
        <v>159800</v>
      </c>
      <c r="K11" s="52">
        <v>211500</v>
      </c>
      <c r="L11" s="52">
        <v>211500</v>
      </c>
      <c r="M11" s="52">
        <v>211500</v>
      </c>
      <c r="N11" s="52">
        <v>211500</v>
      </c>
      <c r="O11" s="52">
        <v>159800</v>
      </c>
      <c r="P11" s="52">
        <v>211500</v>
      </c>
      <c r="Q11" s="52">
        <v>211500</v>
      </c>
      <c r="R11" s="52">
        <v>157450</v>
      </c>
      <c r="S11" s="52">
        <v>145000</v>
      </c>
      <c r="T11" s="53">
        <f t="shared" si="2"/>
        <v>2238150</v>
      </c>
    </row>
    <row r="12" spans="1:20">
      <c r="A12" s="1">
        <v>30501180406</v>
      </c>
      <c r="B12" s="1" t="s">
        <v>145</v>
      </c>
      <c r="C12" s="51">
        <v>11000000</v>
      </c>
      <c r="D12" s="51"/>
      <c r="E12" s="51"/>
      <c r="F12" s="47"/>
      <c r="G12" s="52">
        <f t="shared" si="1"/>
        <v>11000000</v>
      </c>
      <c r="H12" s="52">
        <v>0</v>
      </c>
      <c r="I12" s="52">
        <v>0</v>
      </c>
      <c r="J12" s="52">
        <v>0</v>
      </c>
      <c r="K12" s="52"/>
      <c r="L12" s="52"/>
      <c r="M12" s="52"/>
      <c r="N12" s="52"/>
      <c r="O12" s="52"/>
      <c r="P12" s="52"/>
      <c r="Q12" s="52">
        <v>7965881</v>
      </c>
      <c r="R12" s="52"/>
      <c r="S12" s="52">
        <v>0</v>
      </c>
      <c r="T12" s="53">
        <f t="shared" si="2"/>
        <v>7965881</v>
      </c>
    </row>
    <row r="13" spans="1:20">
      <c r="A13" s="1">
        <v>30501180407</v>
      </c>
      <c r="B13" s="1" t="s">
        <v>146</v>
      </c>
      <c r="C13" s="51">
        <v>1000000</v>
      </c>
      <c r="D13" s="51"/>
      <c r="E13" s="51"/>
      <c r="F13" s="47"/>
      <c r="G13" s="52">
        <f t="shared" si="1"/>
        <v>1000000</v>
      </c>
      <c r="H13" s="52">
        <v>0</v>
      </c>
      <c r="I13" s="52">
        <v>0</v>
      </c>
      <c r="J13" s="52">
        <v>0</v>
      </c>
      <c r="K13" s="52"/>
      <c r="L13" s="52"/>
      <c r="M13" s="52"/>
      <c r="N13" s="52"/>
      <c r="O13" s="52"/>
      <c r="P13" s="52"/>
      <c r="Q13" s="52">
        <v>303855</v>
      </c>
      <c r="R13" s="52">
        <v>348446</v>
      </c>
      <c r="S13" s="52">
        <v>0</v>
      </c>
      <c r="T13" s="53">
        <f t="shared" si="2"/>
        <v>652301</v>
      </c>
    </row>
    <row r="14" spans="1:20">
      <c r="A14" s="1">
        <v>30501180408</v>
      </c>
      <c r="B14" s="1" t="s">
        <v>147</v>
      </c>
      <c r="C14" s="51">
        <v>250000000</v>
      </c>
      <c r="D14" s="51"/>
      <c r="E14" s="51">
        <v>30000000</v>
      </c>
      <c r="F14" s="47"/>
      <c r="G14" s="52">
        <f t="shared" si="1"/>
        <v>220000000</v>
      </c>
      <c r="H14" s="52">
        <v>15997708</v>
      </c>
      <c r="I14" s="52">
        <v>14346176</v>
      </c>
      <c r="J14" s="52">
        <v>22427316</v>
      </c>
      <c r="K14" s="52">
        <v>10112676</v>
      </c>
      <c r="L14" s="52">
        <v>10155909</v>
      </c>
      <c r="M14" s="52">
        <v>14667298</v>
      </c>
      <c r="N14" s="52">
        <v>13731734</v>
      </c>
      <c r="O14" s="52">
        <v>19290754</v>
      </c>
      <c r="P14" s="52">
        <v>13367813</v>
      </c>
      <c r="Q14" s="52">
        <v>16049935</v>
      </c>
      <c r="R14" s="52">
        <v>17496861</v>
      </c>
      <c r="S14" s="52">
        <v>18417950</v>
      </c>
      <c r="T14" s="53">
        <f t="shared" si="2"/>
        <v>186062130</v>
      </c>
    </row>
    <row r="15" spans="1:20">
      <c r="A15" s="1">
        <v>30501180409</v>
      </c>
      <c r="B15" s="1" t="s">
        <v>148</v>
      </c>
      <c r="C15" s="51">
        <v>85800000</v>
      </c>
      <c r="D15" s="51"/>
      <c r="E15" s="51">
        <v>5000000</v>
      </c>
      <c r="F15" s="47"/>
      <c r="G15" s="52">
        <f t="shared" si="1"/>
        <v>80800000</v>
      </c>
      <c r="H15" s="52">
        <v>0</v>
      </c>
      <c r="I15" s="52">
        <v>0</v>
      </c>
      <c r="J15" s="52">
        <v>0</v>
      </c>
      <c r="K15" s="52"/>
      <c r="L15" s="52"/>
      <c r="M15" s="52">
        <v>68061408</v>
      </c>
      <c r="N15" s="52"/>
      <c r="O15" s="52"/>
      <c r="P15" s="52"/>
      <c r="Q15" s="52"/>
      <c r="R15" s="52"/>
      <c r="S15" s="52">
        <v>0</v>
      </c>
      <c r="T15" s="53">
        <f t="shared" si="2"/>
        <v>68061408</v>
      </c>
    </row>
    <row r="16" spans="1:20">
      <c r="A16" s="1">
        <v>30501180410</v>
      </c>
      <c r="B16" s="1" t="s">
        <v>238</v>
      </c>
      <c r="C16" s="51">
        <v>75000000</v>
      </c>
      <c r="D16" s="51"/>
      <c r="E16" s="51">
        <v>10000000</v>
      </c>
      <c r="F16" s="47"/>
      <c r="G16" s="52">
        <f t="shared" si="1"/>
        <v>65000000</v>
      </c>
      <c r="H16" s="52">
        <v>5589186</v>
      </c>
      <c r="I16" s="52">
        <v>2952202</v>
      </c>
      <c r="J16" s="52">
        <v>6579084</v>
      </c>
      <c r="K16" s="52">
        <v>4177256</v>
      </c>
      <c r="L16" s="52">
        <v>4867433</v>
      </c>
      <c r="M16" s="52">
        <v>3278185</v>
      </c>
      <c r="N16" s="52">
        <v>2410171</v>
      </c>
      <c r="O16" s="52">
        <v>10019635</v>
      </c>
      <c r="P16" s="52">
        <v>3566550</v>
      </c>
      <c r="Q16" s="52">
        <v>5114814</v>
      </c>
      <c r="R16" s="52">
        <v>2535212</v>
      </c>
      <c r="S16" s="52">
        <v>3458277</v>
      </c>
      <c r="T16" s="53">
        <f t="shared" si="2"/>
        <v>54548005</v>
      </c>
    </row>
    <row r="17" spans="1:20">
      <c r="A17" s="1">
        <v>30501180411</v>
      </c>
      <c r="B17" s="1" t="s">
        <v>239</v>
      </c>
      <c r="C17" s="51">
        <v>25000000</v>
      </c>
      <c r="D17" s="51"/>
      <c r="E17" s="51">
        <v>10000000</v>
      </c>
      <c r="F17" s="47"/>
      <c r="G17" s="52">
        <f t="shared" si="1"/>
        <v>15000000</v>
      </c>
      <c r="H17" s="52">
        <v>1019816</v>
      </c>
      <c r="I17" s="52">
        <v>470296</v>
      </c>
      <c r="J17" s="52">
        <v>609808</v>
      </c>
      <c r="K17" s="52">
        <v>542967</v>
      </c>
      <c r="L17" s="52">
        <v>616717</v>
      </c>
      <c r="M17" s="52">
        <v>355568</v>
      </c>
      <c r="N17" s="52">
        <v>708628</v>
      </c>
      <c r="O17" s="52">
        <v>1094156</v>
      </c>
      <c r="P17" s="52">
        <v>1147712</v>
      </c>
      <c r="Q17" s="52">
        <v>765274</v>
      </c>
      <c r="R17" s="52">
        <v>685852</v>
      </c>
      <c r="S17" s="52">
        <v>725184</v>
      </c>
      <c r="T17" s="53">
        <f t="shared" si="2"/>
        <v>8741978</v>
      </c>
    </row>
    <row r="18" spans="1:20">
      <c r="A18" s="33"/>
      <c r="B18" s="48" t="s">
        <v>150</v>
      </c>
      <c r="C18" s="49">
        <f t="shared" ref="C18:T18" si="3">SUM(C19:C21)</f>
        <v>696800000</v>
      </c>
      <c r="D18" s="49">
        <f t="shared" si="3"/>
        <v>0</v>
      </c>
      <c r="E18" s="49">
        <f t="shared" si="3"/>
        <v>3000000</v>
      </c>
      <c r="F18" s="50">
        <f t="shared" si="3"/>
        <v>0</v>
      </c>
      <c r="G18" s="50">
        <f t="shared" si="3"/>
        <v>693800000</v>
      </c>
      <c r="H18" s="50">
        <f t="shared" si="3"/>
        <v>174375555</v>
      </c>
      <c r="I18" s="50">
        <f t="shared" si="3"/>
        <v>75333857</v>
      </c>
      <c r="J18" s="50">
        <f t="shared" si="3"/>
        <v>47958622</v>
      </c>
      <c r="K18" s="50">
        <f t="shared" si="3"/>
        <v>57116635</v>
      </c>
      <c r="L18" s="50">
        <f t="shared" si="3"/>
        <v>24602019</v>
      </c>
      <c r="M18" s="50">
        <f t="shared" si="3"/>
        <v>30499794</v>
      </c>
      <c r="N18" s="50">
        <f t="shared" si="3"/>
        <v>26208841</v>
      </c>
      <c r="O18" s="50">
        <f t="shared" si="3"/>
        <v>70235607</v>
      </c>
      <c r="P18" s="50">
        <f t="shared" si="3"/>
        <v>14508187</v>
      </c>
      <c r="Q18" s="50">
        <f t="shared" si="3"/>
        <v>91130811</v>
      </c>
      <c r="R18" s="50">
        <f t="shared" si="3"/>
        <v>21837079</v>
      </c>
      <c r="S18" s="50">
        <f t="shared" si="3"/>
        <v>58834818</v>
      </c>
      <c r="T18" s="50">
        <f t="shared" si="3"/>
        <v>692641825</v>
      </c>
    </row>
    <row r="19" spans="1:20">
      <c r="A19" s="1">
        <v>30501180413</v>
      </c>
      <c r="B19" s="1" t="s">
        <v>151</v>
      </c>
      <c r="C19" s="51">
        <v>253500000</v>
      </c>
      <c r="D19" s="51"/>
      <c r="E19" s="51"/>
      <c r="F19" s="47"/>
      <c r="G19" s="52">
        <f t="shared" si="1"/>
        <v>253500000</v>
      </c>
      <c r="H19" s="52">
        <v>147316700</v>
      </c>
      <c r="I19" s="52">
        <v>62400000</v>
      </c>
      <c r="J19" s="52">
        <v>32000000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/>
      <c r="Q19" s="52">
        <v>11000000</v>
      </c>
      <c r="R19" s="52"/>
      <c r="S19" s="52">
        <v>0</v>
      </c>
      <c r="T19" s="53">
        <f t="shared" si="2"/>
        <v>252716700</v>
      </c>
    </row>
    <row r="20" spans="1:20">
      <c r="A20" s="1">
        <v>30501180414</v>
      </c>
      <c r="B20" s="1" t="s">
        <v>152</v>
      </c>
      <c r="C20" s="51">
        <v>440000000</v>
      </c>
      <c r="D20" s="51"/>
      <c r="E20" s="51"/>
      <c r="F20" s="47"/>
      <c r="G20" s="52">
        <f t="shared" si="1"/>
        <v>440000000</v>
      </c>
      <c r="H20" s="52">
        <v>27058855</v>
      </c>
      <c r="I20" s="52">
        <v>12933857</v>
      </c>
      <c r="J20" s="52">
        <v>15958622</v>
      </c>
      <c r="K20" s="52">
        <v>57116635</v>
      </c>
      <c r="L20" s="52">
        <v>24602019</v>
      </c>
      <c r="M20" s="52">
        <v>30499794</v>
      </c>
      <c r="N20" s="52">
        <v>26208841</v>
      </c>
      <c r="O20" s="52">
        <v>70235607</v>
      </c>
      <c r="P20" s="52">
        <v>14508187</v>
      </c>
      <c r="Q20" s="52">
        <v>80130811</v>
      </c>
      <c r="R20" s="52">
        <v>21837079</v>
      </c>
      <c r="S20" s="52">
        <f>18460371+40374447</f>
        <v>58834818</v>
      </c>
      <c r="T20" s="53">
        <f>SUM(H20:S20)</f>
        <v>439925125</v>
      </c>
    </row>
    <row r="21" spans="1:20">
      <c r="A21" s="1">
        <v>30501180415</v>
      </c>
      <c r="B21" s="1" t="s">
        <v>153</v>
      </c>
      <c r="C21" s="51">
        <v>3300000</v>
      </c>
      <c r="D21" s="51"/>
      <c r="E21" s="51">
        <v>3000000</v>
      </c>
      <c r="F21" s="47"/>
      <c r="G21" s="52">
        <f t="shared" si="1"/>
        <v>300000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/>
      <c r="Q21" s="52"/>
      <c r="R21" s="52"/>
      <c r="S21" s="52"/>
      <c r="T21" s="53">
        <f>SUM(H21:S21)</f>
        <v>0</v>
      </c>
    </row>
    <row r="22" spans="1:20">
      <c r="A22" s="33"/>
      <c r="B22" s="48" t="s">
        <v>154</v>
      </c>
      <c r="C22" s="49">
        <f t="shared" ref="C22:T22" si="4">SUM(C23)</f>
        <v>94600000</v>
      </c>
      <c r="D22" s="49">
        <f t="shared" si="4"/>
        <v>10000000</v>
      </c>
      <c r="E22" s="49">
        <f t="shared" si="4"/>
        <v>0</v>
      </c>
      <c r="F22" s="50">
        <f t="shared" si="4"/>
        <v>0</v>
      </c>
      <c r="G22" s="50">
        <f t="shared" si="4"/>
        <v>104600000</v>
      </c>
      <c r="H22" s="50">
        <f t="shared" si="4"/>
        <v>8235700</v>
      </c>
      <c r="I22" s="50">
        <f t="shared" si="4"/>
        <v>6787800</v>
      </c>
      <c r="J22" s="50">
        <f t="shared" si="4"/>
        <v>6959900</v>
      </c>
      <c r="K22" s="50">
        <f t="shared" si="4"/>
        <v>7668200</v>
      </c>
      <c r="L22" s="50">
        <f t="shared" si="4"/>
        <v>7338000</v>
      </c>
      <c r="M22" s="50">
        <f t="shared" si="4"/>
        <v>7779000</v>
      </c>
      <c r="N22" s="50">
        <f t="shared" si="4"/>
        <v>8131300</v>
      </c>
      <c r="O22" s="50">
        <f t="shared" si="4"/>
        <v>8147500</v>
      </c>
      <c r="P22" s="50">
        <f t="shared" si="4"/>
        <v>8457700</v>
      </c>
      <c r="Q22" s="50">
        <f t="shared" si="4"/>
        <v>8002200</v>
      </c>
      <c r="R22" s="50">
        <f t="shared" si="4"/>
        <v>8002500</v>
      </c>
      <c r="S22" s="50">
        <f t="shared" si="4"/>
        <v>8289400</v>
      </c>
      <c r="T22" s="50">
        <f t="shared" si="4"/>
        <v>93799200</v>
      </c>
    </row>
    <row r="23" spans="1:20">
      <c r="A23" s="1">
        <v>30501180416</v>
      </c>
      <c r="B23" s="54" t="s">
        <v>155</v>
      </c>
      <c r="C23" s="51">
        <v>94600000</v>
      </c>
      <c r="D23" s="51">
        <v>10000000</v>
      </c>
      <c r="E23" s="51"/>
      <c r="F23" s="47"/>
      <c r="G23" s="52">
        <f t="shared" si="1"/>
        <v>104600000</v>
      </c>
      <c r="H23" s="52">
        <v>8235700</v>
      </c>
      <c r="I23" s="52">
        <v>6787800</v>
      </c>
      <c r="J23" s="52">
        <v>6959900</v>
      </c>
      <c r="K23" s="52">
        <v>7668200</v>
      </c>
      <c r="L23" s="52">
        <v>7338000</v>
      </c>
      <c r="M23" s="52">
        <v>7779000</v>
      </c>
      <c r="N23" s="52">
        <v>8131300</v>
      </c>
      <c r="O23" s="52">
        <v>8147500</v>
      </c>
      <c r="P23" s="52">
        <v>8457700</v>
      </c>
      <c r="Q23" s="52">
        <v>8002200</v>
      </c>
      <c r="R23" s="52">
        <v>8002500</v>
      </c>
      <c r="S23" s="52">
        <v>8289400</v>
      </c>
      <c r="T23" s="53">
        <f>SUM(H23:S23)</f>
        <v>93799200</v>
      </c>
    </row>
    <row r="24" spans="1:20">
      <c r="A24" s="33"/>
      <c r="B24" s="48" t="s">
        <v>154</v>
      </c>
      <c r="C24" s="49">
        <f t="shared" ref="C24:T24" si="5">SUM(C25:C29)</f>
        <v>603900000</v>
      </c>
      <c r="D24" s="49">
        <f t="shared" si="5"/>
        <v>93000000</v>
      </c>
      <c r="E24" s="49">
        <f t="shared" si="5"/>
        <v>25000000</v>
      </c>
      <c r="F24" s="50">
        <f t="shared" si="5"/>
        <v>0</v>
      </c>
      <c r="G24" s="50">
        <f t="shared" si="5"/>
        <v>671900000</v>
      </c>
      <c r="H24" s="50">
        <f t="shared" si="5"/>
        <v>56113943</v>
      </c>
      <c r="I24" s="50">
        <f t="shared" si="5"/>
        <v>47418628</v>
      </c>
      <c r="J24" s="50">
        <f t="shared" si="5"/>
        <v>47129917</v>
      </c>
      <c r="K24" s="50">
        <f t="shared" si="5"/>
        <v>51886393</v>
      </c>
      <c r="L24" s="50">
        <f t="shared" si="5"/>
        <v>49728475</v>
      </c>
      <c r="M24" s="50">
        <f t="shared" si="5"/>
        <v>52699014</v>
      </c>
      <c r="N24" s="50">
        <f t="shared" si="5"/>
        <v>55105490</v>
      </c>
      <c r="O24" s="50">
        <f t="shared" si="5"/>
        <v>55403203</v>
      </c>
      <c r="P24" s="50">
        <f t="shared" si="5"/>
        <v>57855782</v>
      </c>
      <c r="Q24" s="50">
        <f t="shared" si="5"/>
        <v>69399800</v>
      </c>
      <c r="R24" s="50">
        <f t="shared" si="5"/>
        <v>54984058</v>
      </c>
      <c r="S24" s="50">
        <f t="shared" si="5"/>
        <v>53259047</v>
      </c>
      <c r="T24" s="50">
        <f t="shared" si="5"/>
        <v>650983750</v>
      </c>
    </row>
    <row r="25" spans="1:20">
      <c r="A25" s="1">
        <v>30501180417</v>
      </c>
      <c r="B25" s="54" t="s">
        <v>156</v>
      </c>
      <c r="C25" s="51">
        <v>77000000</v>
      </c>
      <c r="D25" s="51"/>
      <c r="E25" s="51"/>
      <c r="F25" s="47"/>
      <c r="G25" s="52">
        <f t="shared" si="1"/>
        <v>77000000</v>
      </c>
      <c r="H25" s="52">
        <v>6176400</v>
      </c>
      <c r="I25" s="52">
        <v>5090300</v>
      </c>
      <c r="J25" s="52">
        <v>5219200</v>
      </c>
      <c r="K25" s="52">
        <v>5751200</v>
      </c>
      <c r="L25" s="52">
        <v>5503200</v>
      </c>
      <c r="M25" s="52">
        <v>5834000</v>
      </c>
      <c r="N25" s="52">
        <v>6098500</v>
      </c>
      <c r="O25" s="52">
        <v>6110500</v>
      </c>
      <c r="P25" s="52">
        <v>6342600</v>
      </c>
      <c r="Q25" s="52">
        <v>6001600</v>
      </c>
      <c r="R25" s="52">
        <v>6002200</v>
      </c>
      <c r="S25" s="52">
        <v>6216500</v>
      </c>
      <c r="T25" s="53">
        <f>SUM(H25:S25)</f>
        <v>70346200</v>
      </c>
    </row>
    <row r="26" spans="1:20">
      <c r="A26" s="1">
        <v>30501180418</v>
      </c>
      <c r="B26" s="54" t="s">
        <v>157</v>
      </c>
      <c r="C26" s="51">
        <v>47300000</v>
      </c>
      <c r="D26" s="51"/>
      <c r="E26" s="51">
        <v>25000000</v>
      </c>
      <c r="F26" s="47"/>
      <c r="G26" s="52">
        <f t="shared" si="1"/>
        <v>22300000</v>
      </c>
      <c r="H26" s="52">
        <v>1029400</v>
      </c>
      <c r="I26" s="52">
        <v>848200</v>
      </c>
      <c r="J26" s="52">
        <v>870000</v>
      </c>
      <c r="K26" s="52">
        <v>958000</v>
      </c>
      <c r="L26" s="52">
        <v>917000</v>
      </c>
      <c r="M26" s="52">
        <v>972100</v>
      </c>
      <c r="N26" s="52">
        <v>1016400</v>
      </c>
      <c r="O26" s="52">
        <v>1018200</v>
      </c>
      <c r="P26" s="52">
        <v>1056900</v>
      </c>
      <c r="Q26" s="52">
        <v>1000200</v>
      </c>
      <c r="R26" s="52">
        <v>1000200</v>
      </c>
      <c r="S26" s="52">
        <v>1036300</v>
      </c>
      <c r="T26" s="53">
        <f>SUM(H26:S26)</f>
        <v>11722900</v>
      </c>
    </row>
    <row r="27" spans="1:20">
      <c r="A27" s="1">
        <v>30501180419</v>
      </c>
      <c r="B27" s="54" t="s">
        <v>158</v>
      </c>
      <c r="C27" s="51">
        <v>14300000</v>
      </c>
      <c r="D27" s="51"/>
      <c r="E27" s="51"/>
      <c r="F27" s="47"/>
      <c r="G27" s="52">
        <f t="shared" si="1"/>
        <v>14300000</v>
      </c>
      <c r="H27" s="52">
        <v>1029400</v>
      </c>
      <c r="I27" s="52">
        <v>848200</v>
      </c>
      <c r="J27" s="52">
        <v>870000</v>
      </c>
      <c r="K27" s="52">
        <v>958000</v>
      </c>
      <c r="L27" s="52">
        <v>917000</v>
      </c>
      <c r="M27" s="52">
        <v>972100</v>
      </c>
      <c r="N27" s="52">
        <v>1016400</v>
      </c>
      <c r="O27" s="52">
        <v>1018200</v>
      </c>
      <c r="P27" s="52">
        <v>1056900</v>
      </c>
      <c r="Q27" s="52">
        <v>1000200</v>
      </c>
      <c r="R27" s="52">
        <v>1000200</v>
      </c>
      <c r="S27" s="52">
        <v>136300</v>
      </c>
      <c r="T27" s="53">
        <f>SUM(H27:S27)</f>
        <v>10822900</v>
      </c>
    </row>
    <row r="28" spans="1:20">
      <c r="A28" s="1">
        <v>30501180420</v>
      </c>
      <c r="B28" s="54" t="s">
        <v>159</v>
      </c>
      <c r="C28" s="51">
        <v>19800000</v>
      </c>
      <c r="D28" s="51">
        <v>3000000</v>
      </c>
      <c r="E28" s="51"/>
      <c r="F28" s="47"/>
      <c r="G28" s="52">
        <f t="shared" si="1"/>
        <v>22800000</v>
      </c>
      <c r="H28" s="52">
        <v>2058400</v>
      </c>
      <c r="I28" s="52">
        <v>1696600</v>
      </c>
      <c r="J28" s="52">
        <v>1739600</v>
      </c>
      <c r="K28" s="52">
        <v>1917100</v>
      </c>
      <c r="L28" s="52">
        <v>1835000</v>
      </c>
      <c r="M28" s="52">
        <v>1944900</v>
      </c>
      <c r="N28" s="52">
        <v>2032800</v>
      </c>
      <c r="O28" s="52">
        <v>2036900</v>
      </c>
      <c r="P28" s="52">
        <v>2114500</v>
      </c>
      <c r="Q28" s="52">
        <v>2000300</v>
      </c>
      <c r="R28" s="52">
        <v>2000800</v>
      </c>
      <c r="S28" s="52">
        <v>1420800</v>
      </c>
      <c r="T28" s="53">
        <f>SUM(H28:S28)</f>
        <v>22797700</v>
      </c>
    </row>
    <row r="29" spans="1:20">
      <c r="A29" s="1">
        <v>30501180421</v>
      </c>
      <c r="B29" s="54" t="s">
        <v>160</v>
      </c>
      <c r="C29" s="51">
        <v>445500000</v>
      </c>
      <c r="D29" s="51">
        <v>90000000</v>
      </c>
      <c r="E29" s="51"/>
      <c r="F29" s="47"/>
      <c r="G29" s="52">
        <f t="shared" si="1"/>
        <v>535500000</v>
      </c>
      <c r="H29" s="52">
        <v>45820343</v>
      </c>
      <c r="I29" s="52">
        <v>38935328</v>
      </c>
      <c r="J29" s="52">
        <v>38431117</v>
      </c>
      <c r="K29" s="52">
        <v>42302093</v>
      </c>
      <c r="L29" s="52">
        <v>40556275</v>
      </c>
      <c r="M29" s="52">
        <v>42975914</v>
      </c>
      <c r="N29" s="52">
        <v>44941390</v>
      </c>
      <c r="O29" s="52">
        <v>45219403</v>
      </c>
      <c r="P29" s="52">
        <v>47284882</v>
      </c>
      <c r="Q29" s="52">
        <v>59397500</v>
      </c>
      <c r="R29" s="52">
        <v>44980658</v>
      </c>
      <c r="S29" s="52">
        <v>44449147</v>
      </c>
      <c r="T29" s="53">
        <f>SUM(H29:S29)</f>
        <v>535294050</v>
      </c>
    </row>
    <row r="30" spans="1:20">
      <c r="A30" s="48">
        <v>30502</v>
      </c>
      <c r="B30" s="48" t="s">
        <v>161</v>
      </c>
      <c r="F30" s="55"/>
      <c r="S30" s="52"/>
      <c r="T30" s="56"/>
    </row>
    <row r="31" spans="1:20">
      <c r="A31" s="48"/>
      <c r="B31" s="48" t="s">
        <v>162</v>
      </c>
      <c r="C31" s="49">
        <f t="shared" ref="C31:T31" si="6">SUM(C32:C36)</f>
        <v>352600000</v>
      </c>
      <c r="D31" s="49">
        <f t="shared" si="6"/>
        <v>25000000</v>
      </c>
      <c r="E31" s="49">
        <f t="shared" si="6"/>
        <v>0</v>
      </c>
      <c r="F31" s="50">
        <f t="shared" si="6"/>
        <v>0</v>
      </c>
      <c r="G31" s="50">
        <f t="shared" si="6"/>
        <v>377600000</v>
      </c>
      <c r="H31" s="50">
        <f t="shared" si="6"/>
        <v>23500000</v>
      </c>
      <c r="I31" s="50">
        <f t="shared" si="6"/>
        <v>16484500</v>
      </c>
      <c r="J31" s="50">
        <f t="shared" si="6"/>
        <v>0</v>
      </c>
      <c r="K31" s="50">
        <f t="shared" si="6"/>
        <v>24861968</v>
      </c>
      <c r="L31" s="50">
        <f t="shared" si="6"/>
        <v>112098022</v>
      </c>
      <c r="M31" s="50">
        <f t="shared" si="6"/>
        <v>0</v>
      </c>
      <c r="N31" s="50">
        <f t="shared" si="6"/>
        <v>3075000</v>
      </c>
      <c r="O31" s="50">
        <f t="shared" si="6"/>
        <v>117372434</v>
      </c>
      <c r="P31" s="50">
        <f t="shared" si="6"/>
        <v>0</v>
      </c>
      <c r="Q31" s="50">
        <f t="shared" si="6"/>
        <v>0</v>
      </c>
      <c r="R31" s="50">
        <f t="shared" si="6"/>
        <v>14568792</v>
      </c>
      <c r="S31" s="50">
        <f t="shared" si="6"/>
        <v>31708000</v>
      </c>
      <c r="T31" s="50">
        <f t="shared" si="6"/>
        <v>343668716</v>
      </c>
    </row>
    <row r="32" spans="1:20">
      <c r="A32" s="1">
        <v>30502180401</v>
      </c>
      <c r="B32" s="1" t="s">
        <v>163</v>
      </c>
      <c r="C32" s="51">
        <v>35000000</v>
      </c>
      <c r="D32" s="51">
        <v>10000000</v>
      </c>
      <c r="E32" s="51"/>
      <c r="F32" s="47"/>
      <c r="G32" s="52">
        <f t="shared" ref="G32:G46" si="7">C32+D32-E32+F32</f>
        <v>45000000</v>
      </c>
      <c r="H32" s="52">
        <v>0</v>
      </c>
      <c r="I32" s="52">
        <v>0</v>
      </c>
      <c r="J32" s="52">
        <v>0</v>
      </c>
      <c r="K32" s="52">
        <v>0</v>
      </c>
      <c r="L32" s="52">
        <v>3194422</v>
      </c>
      <c r="M32" s="52">
        <v>0</v>
      </c>
      <c r="N32" s="52">
        <v>0</v>
      </c>
      <c r="O32" s="52">
        <v>14655554</v>
      </c>
      <c r="P32" s="52"/>
      <c r="Q32" s="52"/>
      <c r="R32" s="52"/>
      <c r="S32" s="52">
        <v>24708000</v>
      </c>
      <c r="T32" s="53">
        <f>SUM(H32:S32)</f>
        <v>42557976</v>
      </c>
    </row>
    <row r="33" spans="1:20">
      <c r="A33" s="1">
        <v>30502180402</v>
      </c>
      <c r="B33" s="1" t="s">
        <v>164</v>
      </c>
      <c r="C33" s="51">
        <v>250000000</v>
      </c>
      <c r="D33" s="51">
        <v>15000000</v>
      </c>
      <c r="E33" s="51"/>
      <c r="F33" s="47"/>
      <c r="G33" s="52">
        <f t="shared" si="7"/>
        <v>265000000</v>
      </c>
      <c r="H33" s="52">
        <v>16500000</v>
      </c>
      <c r="I33" s="52">
        <v>16484500</v>
      </c>
      <c r="J33" s="52">
        <v>0</v>
      </c>
      <c r="K33" s="52">
        <v>16010400</v>
      </c>
      <c r="L33" s="52">
        <v>80000000</v>
      </c>
      <c r="M33" s="52">
        <v>0</v>
      </c>
      <c r="N33" s="52">
        <v>3075000</v>
      </c>
      <c r="O33" s="52">
        <v>102434380</v>
      </c>
      <c r="P33" s="52"/>
      <c r="Q33" s="52"/>
      <c r="R33" s="52">
        <v>14568792</v>
      </c>
      <c r="S33" s="52">
        <v>7000000</v>
      </c>
      <c r="T33" s="53">
        <f>SUM(H33:S33)</f>
        <v>256073072</v>
      </c>
    </row>
    <row r="34" spans="1:20">
      <c r="A34" s="1">
        <v>30502180403</v>
      </c>
      <c r="B34" s="1" t="s">
        <v>165</v>
      </c>
      <c r="C34" s="51">
        <v>14300000</v>
      </c>
      <c r="D34" s="51"/>
      <c r="E34" s="51"/>
      <c r="F34" s="47"/>
      <c r="G34" s="52">
        <f t="shared" si="7"/>
        <v>14300000</v>
      </c>
      <c r="H34" s="52">
        <v>0</v>
      </c>
      <c r="I34" s="52">
        <v>0</v>
      </c>
      <c r="J34" s="52">
        <v>0</v>
      </c>
      <c r="K34" s="52">
        <v>8851568</v>
      </c>
      <c r="L34" s="52">
        <v>0</v>
      </c>
      <c r="M34" s="52">
        <v>0</v>
      </c>
      <c r="N34" s="52">
        <v>0</v>
      </c>
      <c r="O34" s="52">
        <v>282500</v>
      </c>
      <c r="P34" s="52"/>
      <c r="Q34" s="52"/>
      <c r="R34" s="52"/>
      <c r="S34" s="52">
        <v>0</v>
      </c>
      <c r="T34" s="53">
        <f>SUM(H34:S34)</f>
        <v>9134068</v>
      </c>
    </row>
    <row r="35" spans="1:20">
      <c r="A35" s="1">
        <v>30502180404</v>
      </c>
      <c r="B35" s="1" t="s">
        <v>166</v>
      </c>
      <c r="C35" s="51">
        <v>3300000</v>
      </c>
      <c r="D35" s="51"/>
      <c r="E35" s="51"/>
      <c r="F35" s="47"/>
      <c r="G35" s="52">
        <f t="shared" si="7"/>
        <v>3300000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/>
      <c r="Q35" s="52"/>
      <c r="R35" s="52"/>
      <c r="S35" s="52">
        <v>0</v>
      </c>
      <c r="T35" s="53">
        <f>SUM(H35:S35)</f>
        <v>0</v>
      </c>
    </row>
    <row r="36" spans="1:20">
      <c r="A36" s="1">
        <v>30502180405</v>
      </c>
      <c r="B36" s="1" t="s">
        <v>167</v>
      </c>
      <c r="C36" s="51">
        <v>50000000</v>
      </c>
      <c r="D36" s="51"/>
      <c r="E36" s="51"/>
      <c r="F36" s="47"/>
      <c r="G36" s="52">
        <f t="shared" si="7"/>
        <v>50000000</v>
      </c>
      <c r="H36" s="52">
        <v>7000000</v>
      </c>
      <c r="I36" s="52">
        <v>0</v>
      </c>
      <c r="J36" s="52">
        <v>0</v>
      </c>
      <c r="K36" s="52">
        <v>0</v>
      </c>
      <c r="L36" s="52">
        <v>28903600</v>
      </c>
      <c r="M36" s="52">
        <v>0</v>
      </c>
      <c r="N36" s="52">
        <v>0</v>
      </c>
      <c r="O36" s="52">
        <v>0</v>
      </c>
      <c r="P36" s="52"/>
      <c r="Q36" s="52"/>
      <c r="R36" s="52"/>
      <c r="S36" s="52">
        <v>0</v>
      </c>
      <c r="T36" s="53">
        <f>SUM(H36:S36)</f>
        <v>35903600</v>
      </c>
    </row>
    <row r="37" spans="1:20">
      <c r="A37" s="1"/>
      <c r="B37" s="48" t="s">
        <v>168</v>
      </c>
      <c r="C37" s="49">
        <f t="shared" ref="C37:T37" si="8">SUM(C38:C46)</f>
        <v>461800000</v>
      </c>
      <c r="D37" s="49">
        <f t="shared" si="8"/>
        <v>10000000</v>
      </c>
      <c r="E37" s="49">
        <f t="shared" si="8"/>
        <v>0</v>
      </c>
      <c r="F37" s="50">
        <f t="shared" si="8"/>
        <v>0</v>
      </c>
      <c r="G37" s="50">
        <f t="shared" si="8"/>
        <v>471800000</v>
      </c>
      <c r="H37" s="50">
        <f t="shared" si="8"/>
        <v>25269395</v>
      </c>
      <c r="I37" s="50">
        <f t="shared" si="8"/>
        <v>16354296</v>
      </c>
      <c r="J37" s="50">
        <f t="shared" si="8"/>
        <v>31729175</v>
      </c>
      <c r="K37" s="50">
        <f t="shared" si="8"/>
        <v>14806803</v>
      </c>
      <c r="L37" s="50">
        <f t="shared" si="8"/>
        <v>49264886</v>
      </c>
      <c r="M37" s="50">
        <f t="shared" si="8"/>
        <v>2926683</v>
      </c>
      <c r="N37" s="50">
        <f t="shared" si="8"/>
        <v>8865539</v>
      </c>
      <c r="O37" s="50">
        <f t="shared" si="8"/>
        <v>20978284</v>
      </c>
      <c r="P37" s="50">
        <f t="shared" si="8"/>
        <v>12315401</v>
      </c>
      <c r="Q37" s="50">
        <f t="shared" si="8"/>
        <v>57689618</v>
      </c>
      <c r="R37" s="50">
        <f t="shared" si="8"/>
        <v>25047862</v>
      </c>
      <c r="S37" s="50">
        <f t="shared" si="8"/>
        <v>12368977</v>
      </c>
      <c r="T37" s="50">
        <f t="shared" si="8"/>
        <v>277616919</v>
      </c>
    </row>
    <row r="38" spans="1:20">
      <c r="A38" s="1">
        <v>30502180406</v>
      </c>
      <c r="B38" s="1" t="s">
        <v>169</v>
      </c>
      <c r="C38" s="51">
        <v>39600000</v>
      </c>
      <c r="D38" s="51"/>
      <c r="E38" s="51"/>
      <c r="F38" s="47"/>
      <c r="G38" s="52">
        <f t="shared" si="7"/>
        <v>39600000</v>
      </c>
      <c r="H38" s="52">
        <v>2069199</v>
      </c>
      <c r="I38" s="52">
        <v>1935707</v>
      </c>
      <c r="J38" s="52">
        <v>2084199</v>
      </c>
      <c r="K38" s="52">
        <v>4228799</v>
      </c>
      <c r="L38" s="52">
        <v>26775499</v>
      </c>
      <c r="M38" s="52">
        <v>0</v>
      </c>
      <c r="N38" s="52">
        <v>0</v>
      </c>
      <c r="O38" s="52">
        <v>0</v>
      </c>
      <c r="P38" s="52"/>
      <c r="Q38" s="52"/>
      <c r="R38" s="52"/>
      <c r="S38" s="52">
        <v>0</v>
      </c>
      <c r="T38" s="53">
        <f t="shared" ref="T38:T46" si="9">SUM(H38:S38)</f>
        <v>37093403</v>
      </c>
    </row>
    <row r="39" spans="1:20">
      <c r="A39" s="1">
        <v>30502180407</v>
      </c>
      <c r="B39" s="1" t="s">
        <v>170</v>
      </c>
      <c r="C39" s="51">
        <v>66000000</v>
      </c>
      <c r="D39" s="51"/>
      <c r="E39" s="51"/>
      <c r="F39" s="47"/>
      <c r="G39" s="52">
        <f t="shared" si="7"/>
        <v>66000000</v>
      </c>
      <c r="H39" s="52">
        <v>0</v>
      </c>
      <c r="I39" s="52">
        <v>0</v>
      </c>
      <c r="J39" s="52">
        <v>0</v>
      </c>
      <c r="K39" s="52"/>
      <c r="L39" s="52">
        <v>15000000</v>
      </c>
      <c r="M39" s="52">
        <v>0</v>
      </c>
      <c r="N39" s="52">
        <v>0</v>
      </c>
      <c r="O39" s="52">
        <v>0</v>
      </c>
      <c r="P39" s="52"/>
      <c r="Q39" s="52">
        <v>32560328</v>
      </c>
      <c r="R39" s="52">
        <v>5000000</v>
      </c>
      <c r="S39" s="52">
        <v>0</v>
      </c>
      <c r="T39" s="53">
        <f t="shared" si="9"/>
        <v>52560328</v>
      </c>
    </row>
    <row r="40" spans="1:20">
      <c r="A40" s="1">
        <v>30502180408</v>
      </c>
      <c r="B40" s="1" t="s">
        <v>171</v>
      </c>
      <c r="C40" s="51">
        <v>29700000</v>
      </c>
      <c r="D40" s="51"/>
      <c r="E40" s="51"/>
      <c r="F40" s="47"/>
      <c r="G40" s="52">
        <f t="shared" si="7"/>
        <v>29700000</v>
      </c>
      <c r="H40" s="52">
        <v>12946600</v>
      </c>
      <c r="I40" s="52">
        <v>0</v>
      </c>
      <c r="J40" s="52">
        <v>0</v>
      </c>
      <c r="K40" s="52"/>
      <c r="L40" s="52">
        <v>0</v>
      </c>
      <c r="M40" s="52">
        <v>0</v>
      </c>
      <c r="N40" s="52">
        <v>0</v>
      </c>
      <c r="O40" s="52">
        <v>0</v>
      </c>
      <c r="P40" s="52"/>
      <c r="Q40" s="52">
        <f>21492158-7965881</f>
        <v>13526277</v>
      </c>
      <c r="R40" s="52"/>
      <c r="S40" s="52">
        <v>0</v>
      </c>
      <c r="T40" s="53">
        <f t="shared" si="9"/>
        <v>26472877</v>
      </c>
    </row>
    <row r="41" spans="1:20">
      <c r="A41" s="1">
        <v>30502180409</v>
      </c>
      <c r="B41" s="1" t="s">
        <v>172</v>
      </c>
      <c r="C41" s="51">
        <v>192500000</v>
      </c>
      <c r="D41" s="51"/>
      <c r="E41" s="51"/>
      <c r="F41" s="47"/>
      <c r="G41" s="52">
        <f t="shared" si="7"/>
        <v>192500000</v>
      </c>
      <c r="H41" s="52">
        <v>6921682</v>
      </c>
      <c r="I41" s="52">
        <v>2366414</v>
      </c>
      <c r="J41" s="52">
        <v>13587093</v>
      </c>
      <c r="K41" s="52">
        <v>8161579</v>
      </c>
      <c r="L41" s="52">
        <v>2039288</v>
      </c>
      <c r="M41" s="52">
        <v>1857057</v>
      </c>
      <c r="N41" s="52">
        <v>7572155</v>
      </c>
      <c r="O41" s="52">
        <v>9585896</v>
      </c>
      <c r="P41" s="52">
        <v>10060509</v>
      </c>
      <c r="Q41" s="52">
        <v>9695880</v>
      </c>
      <c r="R41" s="52">
        <v>9132635</v>
      </c>
      <c r="S41" s="52">
        <v>574854</v>
      </c>
      <c r="T41" s="53">
        <f t="shared" si="9"/>
        <v>81555042</v>
      </c>
    </row>
    <row r="42" spans="1:20">
      <c r="A42" s="1">
        <v>30502180410</v>
      </c>
      <c r="B42" s="1" t="s">
        <v>173</v>
      </c>
      <c r="C42" s="51">
        <v>38500000</v>
      </c>
      <c r="D42" s="51"/>
      <c r="E42" s="51"/>
      <c r="F42" s="47"/>
      <c r="G42" s="52">
        <f t="shared" si="7"/>
        <v>38500000</v>
      </c>
      <c r="H42" s="52">
        <v>3331914</v>
      </c>
      <c r="I42" s="52">
        <v>852175</v>
      </c>
      <c r="J42" s="52">
        <v>4737106</v>
      </c>
      <c r="K42" s="52">
        <v>1286825</v>
      </c>
      <c r="L42" s="52">
        <v>102319</v>
      </c>
      <c r="M42" s="52">
        <v>1069626</v>
      </c>
      <c r="N42" s="52">
        <v>1293384</v>
      </c>
      <c r="O42" s="52">
        <v>1821862</v>
      </c>
      <c r="P42" s="52">
        <v>2254892</v>
      </c>
      <c r="Q42" s="52">
        <v>1907133</v>
      </c>
      <c r="R42" s="52">
        <v>3048525</v>
      </c>
      <c r="S42" s="52">
        <v>683873</v>
      </c>
      <c r="T42" s="53">
        <f t="shared" si="9"/>
        <v>22389634</v>
      </c>
    </row>
    <row r="43" spans="1:20">
      <c r="A43" s="1">
        <v>30502180411</v>
      </c>
      <c r="B43" s="1" t="s">
        <v>174</v>
      </c>
      <c r="C43" s="51">
        <v>44000000</v>
      </c>
      <c r="D43" s="51">
        <v>10000000</v>
      </c>
      <c r="E43" s="51"/>
      <c r="F43" s="47"/>
      <c r="G43" s="52">
        <f t="shared" si="7"/>
        <v>54000000</v>
      </c>
      <c r="H43" s="52">
        <v>0</v>
      </c>
      <c r="I43" s="52">
        <v>11200000</v>
      </c>
      <c r="J43" s="52">
        <v>11320777</v>
      </c>
      <c r="K43" s="52">
        <v>1129600</v>
      </c>
      <c r="L43" s="52">
        <v>5347780</v>
      </c>
      <c r="M43" s="52">
        <v>0</v>
      </c>
      <c r="N43" s="52">
        <v>0</v>
      </c>
      <c r="O43" s="52">
        <v>9570526</v>
      </c>
      <c r="P43" s="52"/>
      <c r="Q43" s="52"/>
      <c r="R43" s="52">
        <v>2869600</v>
      </c>
      <c r="S43" s="52">
        <v>11110250</v>
      </c>
      <c r="T43" s="53">
        <f t="shared" si="9"/>
        <v>52548533</v>
      </c>
    </row>
    <row r="44" spans="1:20">
      <c r="A44" s="1">
        <v>30502180412</v>
      </c>
      <c r="B44" s="1" t="s">
        <v>175</v>
      </c>
      <c r="C44" s="51">
        <v>16500000</v>
      </c>
      <c r="D44" s="51"/>
      <c r="E44" s="51"/>
      <c r="F44" s="47"/>
      <c r="G44" s="52">
        <f t="shared" si="7"/>
        <v>16500000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/>
      <c r="Q44" s="52"/>
      <c r="R44" s="52">
        <v>2997102</v>
      </c>
      <c r="S44" s="52">
        <v>0</v>
      </c>
      <c r="T44" s="53">
        <f t="shared" si="9"/>
        <v>2997102</v>
      </c>
    </row>
    <row r="45" spans="1:20">
      <c r="A45" s="1">
        <v>30502180413</v>
      </c>
      <c r="B45" s="1" t="s">
        <v>176</v>
      </c>
      <c r="C45" s="51">
        <v>33000000</v>
      </c>
      <c r="D45" s="51"/>
      <c r="E45" s="51"/>
      <c r="F45" s="47"/>
      <c r="G45" s="52">
        <f t="shared" si="7"/>
        <v>33000000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/>
      <c r="Q45" s="52"/>
      <c r="R45" s="52"/>
      <c r="S45" s="52">
        <v>0</v>
      </c>
      <c r="T45" s="53">
        <f t="shared" si="9"/>
        <v>0</v>
      </c>
    </row>
    <row r="46" spans="1:20">
      <c r="A46" s="1">
        <v>30502180414</v>
      </c>
      <c r="B46" s="1" t="s">
        <v>177</v>
      </c>
      <c r="C46" s="51">
        <v>2000000</v>
      </c>
      <c r="D46" s="51"/>
      <c r="E46" s="51"/>
      <c r="F46" s="47"/>
      <c r="G46" s="52">
        <f t="shared" si="7"/>
        <v>2000000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/>
      <c r="Q46" s="52"/>
      <c r="R46" s="52">
        <v>2000000</v>
      </c>
      <c r="S46" s="52">
        <v>0</v>
      </c>
      <c r="T46" s="53">
        <f t="shared" si="9"/>
        <v>2000000</v>
      </c>
    </row>
    <row r="47" spans="1:20">
      <c r="A47" s="33"/>
      <c r="B47" s="48" t="s">
        <v>178</v>
      </c>
      <c r="F47" s="55"/>
      <c r="S47" s="52"/>
      <c r="T47" s="56"/>
    </row>
    <row r="48" spans="1:20">
      <c r="A48" s="33"/>
      <c r="B48" s="48" t="s">
        <v>179</v>
      </c>
      <c r="C48" s="49">
        <f t="shared" ref="C48:T48" si="10">SUM(C49:C52)</f>
        <v>511100000</v>
      </c>
      <c r="D48" s="49">
        <f t="shared" si="10"/>
        <v>0</v>
      </c>
      <c r="E48" s="49">
        <f t="shared" si="10"/>
        <v>10000000</v>
      </c>
      <c r="F48" s="50">
        <f t="shared" si="10"/>
        <v>0</v>
      </c>
      <c r="G48" s="50">
        <f t="shared" si="10"/>
        <v>501100000</v>
      </c>
      <c r="H48" s="50">
        <f t="shared" si="10"/>
        <v>81965776</v>
      </c>
      <c r="I48" s="50">
        <f t="shared" si="10"/>
        <v>157500959</v>
      </c>
      <c r="J48" s="50">
        <f t="shared" si="10"/>
        <v>36630299</v>
      </c>
      <c r="K48" s="50">
        <f t="shared" si="10"/>
        <v>29684745</v>
      </c>
      <c r="L48" s="50">
        <f t="shared" si="10"/>
        <v>28479903</v>
      </c>
      <c r="M48" s="50">
        <f t="shared" si="10"/>
        <v>16224316</v>
      </c>
      <c r="N48" s="50">
        <f t="shared" si="10"/>
        <v>47197932</v>
      </c>
      <c r="O48" s="50">
        <f t="shared" si="10"/>
        <v>27473158</v>
      </c>
      <c r="P48" s="50">
        <f t="shared" si="10"/>
        <v>6635141</v>
      </c>
      <c r="Q48" s="50">
        <f t="shared" si="10"/>
        <v>18112158</v>
      </c>
      <c r="R48" s="50">
        <f t="shared" si="10"/>
        <v>10506331</v>
      </c>
      <c r="S48" s="50">
        <f t="shared" si="10"/>
        <v>12841116</v>
      </c>
      <c r="T48" s="50">
        <f t="shared" si="10"/>
        <v>473251834</v>
      </c>
    </row>
    <row r="49" spans="1:20">
      <c r="A49" s="1">
        <v>30503180401</v>
      </c>
      <c r="B49" s="1" t="s">
        <v>180</v>
      </c>
      <c r="C49" s="51">
        <v>88000000</v>
      </c>
      <c r="D49" s="51"/>
      <c r="E49" s="51"/>
      <c r="F49" s="47"/>
      <c r="G49" s="52">
        <f t="shared" ref="G49:G56" si="11">C49+D49-E49+F49</f>
        <v>88000000</v>
      </c>
      <c r="H49" s="52">
        <v>5426058</v>
      </c>
      <c r="I49" s="52">
        <v>4612158</v>
      </c>
      <c r="J49" s="52">
        <v>4612158</v>
      </c>
      <c r="K49" s="52">
        <v>4668558</v>
      </c>
      <c r="L49" s="52">
        <v>4612158</v>
      </c>
      <c r="M49" s="52">
        <v>9224316</v>
      </c>
      <c r="N49" s="52">
        <v>16330187</v>
      </c>
      <c r="O49" s="52">
        <v>7473158</v>
      </c>
      <c r="P49" s="52">
        <v>4612158</v>
      </c>
      <c r="Q49" s="52">
        <v>4612158</v>
      </c>
      <c r="R49" s="52">
        <v>4612158</v>
      </c>
      <c r="S49" s="52">
        <v>12841116</v>
      </c>
      <c r="T49" s="53">
        <f>SUM(H49:S49)</f>
        <v>83636341</v>
      </c>
    </row>
    <row r="50" spans="1:20">
      <c r="A50" s="1">
        <v>30503180402</v>
      </c>
      <c r="B50" s="1" t="s">
        <v>181</v>
      </c>
      <c r="C50" s="51">
        <v>1100000</v>
      </c>
      <c r="D50" s="51"/>
      <c r="E50" s="51"/>
      <c r="F50" s="47"/>
      <c r="G50" s="52">
        <f t="shared" si="11"/>
        <v>1100000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/>
      <c r="Q50" s="52"/>
      <c r="R50" s="52"/>
      <c r="S50" s="52">
        <v>0</v>
      </c>
      <c r="T50" s="53">
        <f>SUM(H50:S50)</f>
        <v>0</v>
      </c>
    </row>
    <row r="51" spans="1:20">
      <c r="A51" s="1">
        <v>30503180403</v>
      </c>
      <c r="B51" s="1" t="s">
        <v>182</v>
      </c>
      <c r="C51" s="51">
        <v>400000000</v>
      </c>
      <c r="D51" s="51"/>
      <c r="E51" s="51"/>
      <c r="F51" s="47"/>
      <c r="G51" s="52">
        <f t="shared" si="11"/>
        <v>400000000</v>
      </c>
      <c r="H51" s="52">
        <v>68220778</v>
      </c>
      <c r="I51" s="52">
        <v>152888801</v>
      </c>
      <c r="J51" s="52">
        <v>32016407</v>
      </c>
      <c r="K51" s="52">
        <v>25016187</v>
      </c>
      <c r="L51" s="52">
        <v>23867745</v>
      </c>
      <c r="M51" s="52">
        <v>7000000</v>
      </c>
      <c r="N51" s="52">
        <v>30867745</v>
      </c>
      <c r="O51" s="52">
        <v>20000000</v>
      </c>
      <c r="P51" s="52">
        <v>1907275</v>
      </c>
      <c r="Q51" s="52">
        <v>13500000</v>
      </c>
      <c r="R51" s="52">
        <v>5477856</v>
      </c>
      <c r="S51" s="52">
        <v>0</v>
      </c>
      <c r="T51" s="53">
        <f>SUM(H51:S51)</f>
        <v>380762794</v>
      </c>
    </row>
    <row r="52" spans="1:20">
      <c r="A52" s="1">
        <v>30503180404</v>
      </c>
      <c r="B52" s="1" t="s">
        <v>183</v>
      </c>
      <c r="C52" s="51">
        <v>22000000</v>
      </c>
      <c r="D52" s="51"/>
      <c r="E52" s="51">
        <v>10000000</v>
      </c>
      <c r="F52" s="47"/>
      <c r="G52" s="52">
        <f t="shared" si="11"/>
        <v>12000000</v>
      </c>
      <c r="H52" s="52">
        <v>8318940</v>
      </c>
      <c r="I52" s="52">
        <v>0</v>
      </c>
      <c r="J52" s="52">
        <v>1734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115708</v>
      </c>
      <c r="Q52" s="52"/>
      <c r="R52" s="52">
        <v>416317</v>
      </c>
      <c r="S52" s="52">
        <v>0</v>
      </c>
      <c r="T52" s="53">
        <f>SUM(H52:S52)</f>
        <v>8852699</v>
      </c>
    </row>
    <row r="53" spans="1:20">
      <c r="A53" s="1"/>
      <c r="B53" s="48" t="s">
        <v>184</v>
      </c>
      <c r="C53" s="49">
        <f>SUM(C54:C57)</f>
        <v>170000000</v>
      </c>
      <c r="D53" s="49">
        <f>SUM(D54:D57)</f>
        <v>0</v>
      </c>
      <c r="E53" s="49">
        <f>SUM(E54:E57)</f>
        <v>30000000</v>
      </c>
      <c r="F53" s="47"/>
      <c r="G53" s="50">
        <f t="shared" ref="G53:T53" si="12">SUM(G54:G57)</f>
        <v>140000000</v>
      </c>
      <c r="H53" s="50">
        <f t="shared" si="12"/>
        <v>2563600</v>
      </c>
      <c r="I53" s="50">
        <f t="shared" si="12"/>
        <v>1418738</v>
      </c>
      <c r="J53" s="50">
        <f t="shared" si="12"/>
        <v>6240189</v>
      </c>
      <c r="K53" s="50">
        <f t="shared" si="12"/>
        <v>13589099</v>
      </c>
      <c r="L53" s="50">
        <f t="shared" si="12"/>
        <v>589500</v>
      </c>
      <c r="M53" s="50">
        <f t="shared" si="12"/>
        <v>5854860</v>
      </c>
      <c r="N53" s="50">
        <f t="shared" si="12"/>
        <v>11561945</v>
      </c>
      <c r="O53" s="50">
        <f t="shared" si="12"/>
        <v>10358308</v>
      </c>
      <c r="P53" s="50">
        <f t="shared" si="12"/>
        <v>3217900</v>
      </c>
      <c r="Q53" s="50">
        <f t="shared" si="12"/>
        <v>23930176</v>
      </c>
      <c r="R53" s="50">
        <f t="shared" si="12"/>
        <v>1517800</v>
      </c>
      <c r="S53" s="50">
        <f t="shared" si="12"/>
        <v>17368061</v>
      </c>
      <c r="T53" s="50">
        <f t="shared" si="12"/>
        <v>98210176</v>
      </c>
    </row>
    <row r="54" spans="1:20">
      <c r="A54" s="1">
        <v>30503180405</v>
      </c>
      <c r="B54" s="1" t="s">
        <v>185</v>
      </c>
      <c r="C54" s="51">
        <v>35000000</v>
      </c>
      <c r="D54" s="51"/>
      <c r="E54" s="51">
        <v>30000000</v>
      </c>
      <c r="F54" s="47"/>
      <c r="G54" s="52">
        <f t="shared" si="11"/>
        <v>5000000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/>
      <c r="Q54" s="52"/>
      <c r="R54" s="52"/>
      <c r="S54" s="52">
        <v>0</v>
      </c>
      <c r="T54" s="53">
        <f>SUM(H54:S54)</f>
        <v>0</v>
      </c>
    </row>
    <row r="55" spans="1:20">
      <c r="A55" s="1">
        <v>30503180406</v>
      </c>
      <c r="B55" s="1" t="s">
        <v>186</v>
      </c>
      <c r="C55" s="51">
        <v>80000000</v>
      </c>
      <c r="D55" s="51"/>
      <c r="E55" s="51"/>
      <c r="F55" s="47"/>
      <c r="G55" s="52">
        <f t="shared" si="11"/>
        <v>80000000</v>
      </c>
      <c r="H55" s="52">
        <v>2563600</v>
      </c>
      <c r="I55" s="52">
        <v>0</v>
      </c>
      <c r="J55" s="52">
        <v>2679000</v>
      </c>
      <c r="K55" s="52">
        <v>9500000</v>
      </c>
      <c r="L55" s="52">
        <v>589500</v>
      </c>
      <c r="M55" s="52">
        <v>2420513</v>
      </c>
      <c r="N55" s="52">
        <v>2764500</v>
      </c>
      <c r="O55" s="52">
        <v>7788000</v>
      </c>
      <c r="P55" s="52">
        <v>3100000</v>
      </c>
      <c r="Q55" s="52">
        <v>11137500</v>
      </c>
      <c r="R55" s="52">
        <v>1282000</v>
      </c>
      <c r="S55" s="52">
        <v>16000000</v>
      </c>
      <c r="T55" s="53">
        <f>SUM(H55:S55)</f>
        <v>59824613</v>
      </c>
    </row>
    <row r="56" spans="1:20">
      <c r="A56" s="1">
        <v>30503180407</v>
      </c>
      <c r="B56" s="1" t="s">
        <v>187</v>
      </c>
      <c r="C56" s="51">
        <v>55000000</v>
      </c>
      <c r="D56" s="51"/>
      <c r="E56" s="51"/>
      <c r="F56" s="47"/>
      <c r="G56" s="52">
        <f t="shared" si="11"/>
        <v>55000000</v>
      </c>
      <c r="H56" s="52">
        <v>0</v>
      </c>
      <c r="I56" s="52">
        <v>1418738</v>
      </c>
      <c r="J56" s="52">
        <v>3561189</v>
      </c>
      <c r="K56" s="52">
        <v>4089099</v>
      </c>
      <c r="L56" s="52"/>
      <c r="M56" s="52">
        <v>3434347</v>
      </c>
      <c r="N56" s="52">
        <v>8797445</v>
      </c>
      <c r="O56" s="52">
        <v>2570308</v>
      </c>
      <c r="P56" s="52">
        <v>117900</v>
      </c>
      <c r="Q56" s="52">
        <v>12792676</v>
      </c>
      <c r="R56" s="52">
        <v>235800</v>
      </c>
      <c r="S56" s="52">
        <v>1368061</v>
      </c>
      <c r="T56" s="53">
        <f>SUM(H56:S56)</f>
        <v>38385563</v>
      </c>
    </row>
    <row r="57" spans="1:20">
      <c r="A57" s="1"/>
      <c r="B57" s="1"/>
      <c r="F57" s="47"/>
    </row>
    <row r="58" spans="1:20">
      <c r="A58" s="9"/>
      <c r="B58" s="30" t="s">
        <v>188</v>
      </c>
      <c r="C58" s="57">
        <f t="shared" ref="C58:T58" si="13">C6+C18+C22+C24+C31+C37+C48+C53</f>
        <v>5745600000</v>
      </c>
      <c r="D58" s="57">
        <f t="shared" si="13"/>
        <v>138000000</v>
      </c>
      <c r="E58" s="57">
        <f t="shared" si="13"/>
        <v>138000000</v>
      </c>
      <c r="F58" s="58">
        <f t="shared" si="13"/>
        <v>0</v>
      </c>
      <c r="G58" s="57">
        <f t="shared" si="13"/>
        <v>5745600000</v>
      </c>
      <c r="H58" s="57">
        <f t="shared" si="13"/>
        <v>547579104</v>
      </c>
      <c r="I58" s="57">
        <f t="shared" si="13"/>
        <v>484512076</v>
      </c>
      <c r="J58" s="57">
        <f t="shared" si="13"/>
        <v>353983433</v>
      </c>
      <c r="K58" s="57">
        <f t="shared" si="13"/>
        <v>363893022</v>
      </c>
      <c r="L58" s="57">
        <f t="shared" si="13"/>
        <v>435379784</v>
      </c>
      <c r="M58" s="57">
        <f t="shared" si="13"/>
        <v>350217849</v>
      </c>
      <c r="N58" s="57">
        <f t="shared" si="13"/>
        <v>324266144</v>
      </c>
      <c r="O58" s="57">
        <f t="shared" si="13"/>
        <v>490650666</v>
      </c>
      <c r="P58" s="57">
        <f t="shared" si="13"/>
        <v>274486507</v>
      </c>
      <c r="Q58" s="57">
        <f t="shared" si="13"/>
        <v>449903503</v>
      </c>
      <c r="R58" s="57">
        <f t="shared" si="13"/>
        <v>313949856</v>
      </c>
      <c r="S58" s="57">
        <f t="shared" si="13"/>
        <v>807242281</v>
      </c>
      <c r="T58" s="57">
        <f t="shared" si="13"/>
        <v>5196064225</v>
      </c>
    </row>
    <row r="59" spans="1:20" ht="15.75">
      <c r="A59" s="33"/>
      <c r="B59" s="36" t="s">
        <v>189</v>
      </c>
      <c r="F59" s="47"/>
    </row>
    <row r="60" spans="1:20">
      <c r="A60" s="1">
        <v>305061804</v>
      </c>
      <c r="B60" s="48" t="s">
        <v>190</v>
      </c>
      <c r="C60" s="51">
        <v>0</v>
      </c>
      <c r="D60" s="51"/>
      <c r="E60" s="51"/>
      <c r="F60" s="47"/>
      <c r="G60" s="52">
        <f>C60+D60-E60+F60</f>
        <v>0</v>
      </c>
      <c r="H60" s="52">
        <v>0</v>
      </c>
      <c r="I60" s="52">
        <v>0</v>
      </c>
      <c r="J60" s="52">
        <v>0</v>
      </c>
      <c r="K60" s="52"/>
      <c r="L60" s="52"/>
      <c r="M60" s="52"/>
      <c r="N60" s="52"/>
      <c r="O60" s="52"/>
      <c r="P60" s="52"/>
      <c r="Q60" s="52"/>
      <c r="R60" s="52"/>
      <c r="S60" s="52"/>
      <c r="T60" s="53"/>
    </row>
    <row r="61" spans="1:20">
      <c r="A61" s="1">
        <v>30506180401</v>
      </c>
      <c r="B61" s="1" t="s">
        <v>191</v>
      </c>
      <c r="C61" s="51">
        <v>0</v>
      </c>
      <c r="D61" s="51"/>
      <c r="E61" s="51"/>
      <c r="F61" s="47"/>
      <c r="G61" s="52">
        <f>C61+D61-E61+F61</f>
        <v>0</v>
      </c>
      <c r="H61" s="52">
        <v>0</v>
      </c>
      <c r="I61" s="52">
        <v>0</v>
      </c>
      <c r="J61" s="52">
        <v>0</v>
      </c>
      <c r="K61" s="52"/>
      <c r="L61" s="52"/>
      <c r="M61" s="52"/>
      <c r="N61" s="52"/>
      <c r="O61" s="52"/>
      <c r="P61" s="52"/>
      <c r="Q61" s="52"/>
      <c r="R61" s="52"/>
      <c r="S61" s="52"/>
      <c r="T61" s="53"/>
    </row>
    <row r="62" spans="1:20">
      <c r="A62" s="1">
        <v>30506180402</v>
      </c>
      <c r="B62" s="1" t="s">
        <v>192</v>
      </c>
      <c r="C62" s="51">
        <v>0</v>
      </c>
      <c r="D62" s="51"/>
      <c r="E62" s="51"/>
      <c r="F62" s="47"/>
      <c r="G62" s="52">
        <f>C62+D62-E62+F62</f>
        <v>0</v>
      </c>
      <c r="H62" s="52">
        <v>0</v>
      </c>
      <c r="I62" s="52">
        <v>0</v>
      </c>
      <c r="J62" s="52">
        <v>0</v>
      </c>
      <c r="K62" s="52"/>
      <c r="L62" s="52"/>
      <c r="M62" s="52"/>
      <c r="N62" s="52"/>
      <c r="O62" s="52"/>
      <c r="P62" s="52"/>
      <c r="Q62" s="52"/>
      <c r="R62" s="52"/>
      <c r="S62" s="52"/>
      <c r="T62" s="53"/>
    </row>
    <row r="63" spans="1:20">
      <c r="A63" s="9"/>
      <c r="B63" s="30" t="s">
        <v>193</v>
      </c>
      <c r="C63" s="59">
        <v>0</v>
      </c>
      <c r="D63" s="59">
        <v>0</v>
      </c>
      <c r="E63" s="59">
        <v>0</v>
      </c>
      <c r="F63" s="59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</row>
    <row r="64" spans="1:20" ht="31.5">
      <c r="A64" s="33"/>
      <c r="B64" s="36" t="s">
        <v>194</v>
      </c>
      <c r="F64" s="47"/>
    </row>
    <row r="65" spans="1:20">
      <c r="A65" s="1">
        <v>30507180401</v>
      </c>
      <c r="B65" s="1" t="s">
        <v>240</v>
      </c>
      <c r="C65" s="19">
        <v>700000000</v>
      </c>
      <c r="D65" s="52"/>
      <c r="E65" s="52"/>
      <c r="F65" s="61"/>
      <c r="G65" s="52">
        <f t="shared" ref="G65:G70" si="14">C65+D65-E65+F65</f>
        <v>700000000</v>
      </c>
      <c r="H65" s="52">
        <v>6800000</v>
      </c>
      <c r="I65" s="52">
        <v>0</v>
      </c>
      <c r="J65" s="52">
        <v>0</v>
      </c>
      <c r="K65" s="52">
        <v>16414425</v>
      </c>
      <c r="L65" s="52">
        <v>7600000</v>
      </c>
      <c r="M65" s="52"/>
      <c r="N65" s="52"/>
      <c r="O65" s="52"/>
      <c r="P65" s="52">
        <v>5179349</v>
      </c>
      <c r="Q65" s="52">
        <v>5700000</v>
      </c>
      <c r="R65" s="52"/>
      <c r="S65" s="52">
        <v>0</v>
      </c>
      <c r="T65" s="19">
        <f t="shared" ref="T65:T70" si="15">SUM(H65:S65)</f>
        <v>41693774</v>
      </c>
    </row>
    <row r="66" spans="1:20">
      <c r="A66" s="1">
        <v>30507180402</v>
      </c>
      <c r="B66" s="1" t="s">
        <v>241</v>
      </c>
      <c r="C66" s="19">
        <v>512000000</v>
      </c>
      <c r="D66" s="52"/>
      <c r="E66" s="52"/>
      <c r="F66" s="52">
        <v>1129305799</v>
      </c>
      <c r="G66" s="52">
        <f t="shared" si="14"/>
        <v>1641305799</v>
      </c>
      <c r="H66" s="52">
        <v>6527934</v>
      </c>
      <c r="I66" s="52">
        <v>279305799</v>
      </c>
      <c r="J66" s="52">
        <v>0</v>
      </c>
      <c r="K66" s="52">
        <v>3821955</v>
      </c>
      <c r="L66" s="52"/>
      <c r="M66" s="52"/>
      <c r="N66" s="52"/>
      <c r="O66" s="52">
        <v>909485459</v>
      </c>
      <c r="P66" s="52"/>
      <c r="Q66" s="52">
        <v>22452374</v>
      </c>
      <c r="R66" s="52">
        <v>45964655</v>
      </c>
      <c r="S66" s="52">
        <v>3839100</v>
      </c>
      <c r="T66" s="19">
        <f t="shared" si="15"/>
        <v>1271397276</v>
      </c>
    </row>
    <row r="67" spans="1:20">
      <c r="A67" s="1">
        <v>30507180403</v>
      </c>
      <c r="B67" s="1" t="s">
        <v>242</v>
      </c>
      <c r="C67" s="51">
        <v>300000000</v>
      </c>
      <c r="D67" s="51"/>
      <c r="E67" s="51"/>
      <c r="F67" s="47"/>
      <c r="G67" s="52">
        <f t="shared" si="14"/>
        <v>300000000</v>
      </c>
      <c r="H67" s="52">
        <v>6000000</v>
      </c>
      <c r="I67" s="52">
        <v>0</v>
      </c>
      <c r="J67" s="52">
        <v>0</v>
      </c>
      <c r="K67" s="52"/>
      <c r="L67" s="52"/>
      <c r="M67" s="52"/>
      <c r="N67" s="52"/>
      <c r="O67" s="52">
        <v>290000000</v>
      </c>
      <c r="P67" s="52"/>
      <c r="Q67" s="52">
        <v>4000000</v>
      </c>
      <c r="R67" s="52"/>
      <c r="S67" s="52">
        <v>0</v>
      </c>
      <c r="T67" s="19">
        <f t="shared" si="15"/>
        <v>300000000</v>
      </c>
    </row>
    <row r="68" spans="1:20">
      <c r="A68" s="1">
        <v>30507180404</v>
      </c>
      <c r="B68" s="1" t="s">
        <v>243</v>
      </c>
      <c r="C68" s="51">
        <v>150000000</v>
      </c>
      <c r="D68" s="51"/>
      <c r="E68" s="51"/>
      <c r="F68" s="47"/>
      <c r="G68" s="52">
        <f t="shared" si="14"/>
        <v>150000000</v>
      </c>
      <c r="H68" s="52">
        <v>0</v>
      </c>
      <c r="I68" s="52">
        <v>0</v>
      </c>
      <c r="J68" s="52">
        <v>0</v>
      </c>
      <c r="K68" s="52"/>
      <c r="L68" s="52"/>
      <c r="M68" s="52"/>
      <c r="N68" s="52"/>
      <c r="O68" s="52"/>
      <c r="P68" s="52"/>
      <c r="Q68" s="52"/>
      <c r="R68" s="52"/>
      <c r="S68" s="52">
        <v>0</v>
      </c>
      <c r="T68" s="19">
        <f t="shared" si="15"/>
        <v>0</v>
      </c>
    </row>
    <row r="69" spans="1:20">
      <c r="A69" s="1">
        <v>30507180405</v>
      </c>
      <c r="B69" s="1" t="s">
        <v>244</v>
      </c>
      <c r="C69" s="51">
        <v>150000000</v>
      </c>
      <c r="D69" s="51"/>
      <c r="E69" s="51"/>
      <c r="F69" s="47"/>
      <c r="G69" s="52">
        <f t="shared" si="14"/>
        <v>150000000</v>
      </c>
      <c r="H69" s="52">
        <v>0</v>
      </c>
      <c r="I69" s="52">
        <v>0</v>
      </c>
      <c r="J69" s="52">
        <v>0</v>
      </c>
      <c r="K69" s="52"/>
      <c r="L69" s="52"/>
      <c r="M69" s="52"/>
      <c r="N69" s="52"/>
      <c r="O69" s="52">
        <v>150000000</v>
      </c>
      <c r="P69" s="52"/>
      <c r="Q69" s="52"/>
      <c r="R69" s="52"/>
      <c r="S69" s="52">
        <v>0</v>
      </c>
      <c r="T69" s="19">
        <f t="shared" si="15"/>
        <v>150000000</v>
      </c>
    </row>
    <row r="70" spans="1:20">
      <c r="A70" s="1">
        <v>30507180406</v>
      </c>
      <c r="B70" s="62" t="s">
        <v>245</v>
      </c>
      <c r="C70" s="51">
        <v>380000000</v>
      </c>
      <c r="D70" s="51"/>
      <c r="E70" s="51"/>
      <c r="F70" s="47"/>
      <c r="G70" s="52">
        <f t="shared" si="14"/>
        <v>380000000</v>
      </c>
      <c r="H70" s="52">
        <v>0</v>
      </c>
      <c r="I70" s="52">
        <v>0</v>
      </c>
      <c r="J70" s="52">
        <v>68809170</v>
      </c>
      <c r="K70" s="52">
        <v>4660000</v>
      </c>
      <c r="L70" s="52">
        <v>46549070</v>
      </c>
      <c r="M70" s="52">
        <v>25800000</v>
      </c>
      <c r="N70" s="52">
        <v>11096960</v>
      </c>
      <c r="O70" s="52">
        <v>37295833</v>
      </c>
      <c r="P70" s="52">
        <v>37795667</v>
      </c>
      <c r="Q70" s="52">
        <v>41223140</v>
      </c>
      <c r="R70" s="52">
        <v>87843334</v>
      </c>
      <c r="S70" s="52">
        <f>19843705-2175000</f>
        <v>17668705</v>
      </c>
      <c r="T70" s="19">
        <f t="shared" si="15"/>
        <v>378741879</v>
      </c>
    </row>
    <row r="71" spans="1:20">
      <c r="A71" s="9"/>
      <c r="B71" s="30" t="s">
        <v>201</v>
      </c>
      <c r="C71" s="57">
        <f t="shared" ref="C71:T71" si="16">SUM(C65:C70)</f>
        <v>2192000000</v>
      </c>
      <c r="D71" s="57">
        <f t="shared" si="16"/>
        <v>0</v>
      </c>
      <c r="E71" s="57">
        <f t="shared" si="16"/>
        <v>0</v>
      </c>
      <c r="F71" s="57">
        <f t="shared" si="16"/>
        <v>1129305799</v>
      </c>
      <c r="G71" s="57">
        <f t="shared" si="16"/>
        <v>3321305799</v>
      </c>
      <c r="H71" s="57">
        <f t="shared" si="16"/>
        <v>19327934</v>
      </c>
      <c r="I71" s="57">
        <f t="shared" si="16"/>
        <v>279305799</v>
      </c>
      <c r="J71" s="57">
        <f t="shared" si="16"/>
        <v>68809170</v>
      </c>
      <c r="K71" s="57">
        <f t="shared" si="16"/>
        <v>24896380</v>
      </c>
      <c r="L71" s="57">
        <f t="shared" si="16"/>
        <v>54149070</v>
      </c>
      <c r="M71" s="57">
        <f t="shared" si="16"/>
        <v>25800000</v>
      </c>
      <c r="N71" s="57">
        <f t="shared" si="16"/>
        <v>11096960</v>
      </c>
      <c r="O71" s="57">
        <f t="shared" si="16"/>
        <v>1386781292</v>
      </c>
      <c r="P71" s="57">
        <f t="shared" si="16"/>
        <v>42975016</v>
      </c>
      <c r="Q71" s="57">
        <f t="shared" si="16"/>
        <v>73375514</v>
      </c>
      <c r="R71" s="57">
        <f t="shared" si="16"/>
        <v>133807989</v>
      </c>
      <c r="S71" s="57">
        <f t="shared" si="16"/>
        <v>21507805</v>
      </c>
      <c r="T71" s="57">
        <f t="shared" si="16"/>
        <v>2141832929</v>
      </c>
    </row>
    <row r="72" spans="1:20" ht="15.75">
      <c r="A72" s="104" t="s">
        <v>246</v>
      </c>
      <c r="B72" s="104"/>
      <c r="C72" s="63">
        <f t="shared" ref="C72:T72" si="17">C58+C63+C71</f>
        <v>7937600000</v>
      </c>
      <c r="D72" s="63">
        <f t="shared" si="17"/>
        <v>138000000</v>
      </c>
      <c r="E72" s="63">
        <f t="shared" si="17"/>
        <v>138000000</v>
      </c>
      <c r="F72" s="63">
        <f t="shared" si="17"/>
        <v>1129305799</v>
      </c>
      <c r="G72" s="63">
        <f t="shared" si="17"/>
        <v>9066905799</v>
      </c>
      <c r="H72" s="63">
        <f t="shared" si="17"/>
        <v>566907038</v>
      </c>
      <c r="I72" s="63">
        <f t="shared" si="17"/>
        <v>763817875</v>
      </c>
      <c r="J72" s="63">
        <f t="shared" si="17"/>
        <v>422792603</v>
      </c>
      <c r="K72" s="63">
        <f t="shared" si="17"/>
        <v>388789402</v>
      </c>
      <c r="L72" s="63">
        <f t="shared" si="17"/>
        <v>489528854</v>
      </c>
      <c r="M72" s="63">
        <f t="shared" si="17"/>
        <v>376017849</v>
      </c>
      <c r="N72" s="63">
        <f t="shared" si="17"/>
        <v>335363104</v>
      </c>
      <c r="O72" s="63">
        <f t="shared" si="17"/>
        <v>1877431958</v>
      </c>
      <c r="P72" s="63">
        <f t="shared" si="17"/>
        <v>317461523</v>
      </c>
      <c r="Q72" s="63">
        <f t="shared" si="17"/>
        <v>523279017</v>
      </c>
      <c r="R72" s="63">
        <f t="shared" si="17"/>
        <v>447757845</v>
      </c>
      <c r="S72" s="63">
        <f t="shared" si="17"/>
        <v>828750086</v>
      </c>
      <c r="T72" s="63">
        <f t="shared" si="17"/>
        <v>7337897154</v>
      </c>
    </row>
  </sheetData>
  <mergeCells count="21">
    <mergeCell ref="A1:T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Q2:Q3"/>
    <mergeCell ref="R2:R3"/>
    <mergeCell ref="S2:S3"/>
    <mergeCell ref="T2:T3"/>
    <mergeCell ref="O2:O3"/>
    <mergeCell ref="P2:P3"/>
    <mergeCell ref="A72:B72"/>
    <mergeCell ref="K2:K3"/>
    <mergeCell ref="L2:L3"/>
    <mergeCell ref="M2:M3"/>
    <mergeCell ref="N2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selection activeCell="D32" sqref="D32"/>
    </sheetView>
  </sheetViews>
  <sheetFormatPr baseColWidth="10" defaultRowHeight="15"/>
  <cols>
    <col min="2" max="2" width="34.140625" customWidth="1"/>
    <col min="3" max="3" width="15.28515625" customWidth="1"/>
    <col min="4" max="4" width="16.85546875" customWidth="1"/>
    <col min="5" max="5" width="17.85546875" customWidth="1"/>
    <col min="6" max="6" width="14.28515625" customWidth="1"/>
    <col min="7" max="7" width="14.42578125" customWidth="1"/>
    <col min="8" max="8" width="13.85546875" customWidth="1"/>
    <col min="9" max="9" width="13.7109375" customWidth="1"/>
    <col min="10" max="10" width="15.28515625" customWidth="1"/>
    <col min="11" max="11" width="14" customWidth="1"/>
    <col min="12" max="12" width="14.42578125" customWidth="1"/>
    <col min="13" max="14" width="16.5703125" customWidth="1"/>
    <col min="15" max="15" width="13.7109375" customWidth="1"/>
    <col min="16" max="16" width="16.42578125" customWidth="1"/>
    <col min="17" max="17" width="13.7109375" customWidth="1"/>
    <col min="18" max="18" width="17" customWidth="1"/>
  </cols>
  <sheetData>
    <row r="1" spans="1:18" ht="15.75">
      <c r="A1" s="112" t="s">
        <v>247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5.75">
      <c r="A2" s="112" t="s">
        <v>248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>
      <c r="A3" s="105" t="s">
        <v>3</v>
      </c>
      <c r="B3" s="105" t="s">
        <v>4</v>
      </c>
      <c r="C3" s="105" t="s">
        <v>249</v>
      </c>
      <c r="D3" s="105" t="s">
        <v>205</v>
      </c>
      <c r="E3" s="105" t="s">
        <v>121</v>
      </c>
      <c r="F3" s="105" t="s">
        <v>206</v>
      </c>
      <c r="G3" s="105" t="s">
        <v>207</v>
      </c>
      <c r="H3" s="105" t="s">
        <v>208</v>
      </c>
      <c r="I3" s="105" t="s">
        <v>209</v>
      </c>
      <c r="J3" s="105" t="s">
        <v>210</v>
      </c>
      <c r="K3" s="105" t="s">
        <v>211</v>
      </c>
      <c r="L3" s="105" t="s">
        <v>212</v>
      </c>
      <c r="M3" s="105" t="s">
        <v>213</v>
      </c>
      <c r="N3" s="105" t="s">
        <v>214</v>
      </c>
      <c r="O3" s="105" t="s">
        <v>215</v>
      </c>
      <c r="P3" s="105" t="s">
        <v>216</v>
      </c>
      <c r="Q3" s="105" t="s">
        <v>217</v>
      </c>
      <c r="R3" s="105" t="s">
        <v>250</v>
      </c>
    </row>
    <row r="4" spans="1:18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>
      <c r="A5" s="1">
        <v>1.1000000000000001</v>
      </c>
      <c r="B5" s="2" t="s">
        <v>21</v>
      </c>
      <c r="R5" s="33"/>
    </row>
    <row r="6" spans="1:18">
      <c r="A6" s="5" t="s">
        <v>22</v>
      </c>
      <c r="B6" s="6" t="s">
        <v>23</v>
      </c>
      <c r="C6" s="7">
        <v>980000000</v>
      </c>
      <c r="D6" s="7">
        <v>0</v>
      </c>
      <c r="E6" s="7">
        <f>C6+D6</f>
        <v>980000000</v>
      </c>
      <c r="F6" s="7"/>
      <c r="G6" s="7"/>
      <c r="H6" s="7"/>
      <c r="I6" s="7"/>
      <c r="J6" s="7"/>
      <c r="K6" s="7"/>
      <c r="L6" s="7"/>
      <c r="M6" s="7"/>
      <c r="N6" s="7"/>
      <c r="O6" s="7"/>
      <c r="P6" s="7">
        <v>1000000000</v>
      </c>
      <c r="Q6" s="7"/>
      <c r="R6" s="7">
        <f>F6+G6+H6+I6+J6+K6+L6+M6+N6+O6+P6+Q6</f>
        <v>1000000000</v>
      </c>
    </row>
    <row r="7" spans="1:18">
      <c r="A7" s="1">
        <v>1.2</v>
      </c>
      <c r="B7" s="2" t="s">
        <v>24</v>
      </c>
      <c r="C7" s="7"/>
      <c r="D7" s="7"/>
      <c r="E7" s="3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5" t="s">
        <v>25</v>
      </c>
      <c r="B8" s="6" t="s">
        <v>26</v>
      </c>
      <c r="C8" s="7">
        <v>2020000000</v>
      </c>
      <c r="D8" s="7">
        <v>0</v>
      </c>
      <c r="E8" s="7">
        <f t="shared" ref="E8:E48" si="0">C8+D8</f>
        <v>2020000000</v>
      </c>
      <c r="F8" s="7">
        <f>234930000+51730843</f>
        <v>286660843</v>
      </c>
      <c r="G8" s="7">
        <f>210091491+26915683</f>
        <v>237007174</v>
      </c>
      <c r="H8" s="7">
        <f>212958464+26829911</f>
        <v>239788375</v>
      </c>
      <c r="I8" s="7">
        <v>139338928</v>
      </c>
      <c r="J8" s="7">
        <f>147745784+49950105</f>
        <v>197695889</v>
      </c>
      <c r="K8" s="7">
        <f>120915963+77570289</f>
        <v>198486252</v>
      </c>
      <c r="L8" s="7">
        <f>202319596+105186802</f>
        <v>307506398</v>
      </c>
      <c r="M8" s="7">
        <f>155036123+9898088+4000000</f>
        <v>168934211</v>
      </c>
      <c r="N8" s="7">
        <f>148553582+11231161</f>
        <v>159784743</v>
      </c>
      <c r="O8" s="7">
        <f>90498708+94406603</f>
        <v>184905311</v>
      </c>
      <c r="P8" s="7">
        <f>80235310+94212739</f>
        <v>174448049</v>
      </c>
      <c r="Q8" s="7">
        <f>76228719+13933208</f>
        <v>90161927</v>
      </c>
      <c r="R8" s="7">
        <f t="shared" ref="R8:R48" si="1">F8+G8+H8+I8+J8+K8+L8+M8+N8+O8+P8+Q8</f>
        <v>2384718100</v>
      </c>
    </row>
    <row r="9" spans="1:18">
      <c r="A9" s="5" t="s">
        <v>27</v>
      </c>
      <c r="B9" s="6" t="s">
        <v>28</v>
      </c>
      <c r="C9" s="7">
        <v>290000000</v>
      </c>
      <c r="D9" s="7">
        <v>0</v>
      </c>
      <c r="E9" s="7">
        <f t="shared" si="0"/>
        <v>290000000</v>
      </c>
      <c r="F9" s="7">
        <f>17415*1749</f>
        <v>30458835</v>
      </c>
      <c r="G9" s="7">
        <f>17415*1841</f>
        <v>32061015</v>
      </c>
      <c r="H9" s="7">
        <f>17415*1845</f>
        <v>32130675</v>
      </c>
      <c r="I9" s="7">
        <v>35986548</v>
      </c>
      <c r="J9" s="7">
        <v>39959200</v>
      </c>
      <c r="K9" s="7">
        <v>47856423</v>
      </c>
      <c r="L9" s="7">
        <v>66997990</v>
      </c>
      <c r="M9" s="7">
        <v>26276500</v>
      </c>
      <c r="N9" s="7">
        <v>35394750</v>
      </c>
      <c r="O9" s="7">
        <v>71578965</v>
      </c>
      <c r="P9" s="7">
        <v>46897425</v>
      </c>
      <c r="Q9" s="7">
        <v>61012450</v>
      </c>
      <c r="R9" s="7">
        <f t="shared" si="1"/>
        <v>526610776</v>
      </c>
    </row>
    <row r="10" spans="1:18">
      <c r="A10" s="5" t="s">
        <v>29</v>
      </c>
      <c r="B10" s="6" t="s">
        <v>30</v>
      </c>
      <c r="C10" s="7">
        <v>50000000</v>
      </c>
      <c r="D10" s="7">
        <v>0</v>
      </c>
      <c r="E10" s="7">
        <f t="shared" si="0"/>
        <v>50000000</v>
      </c>
      <c r="F10" s="7">
        <v>2760000</v>
      </c>
      <c r="G10" s="7">
        <v>2087600</v>
      </c>
      <c r="H10" s="7">
        <v>2139000</v>
      </c>
      <c r="I10" s="7">
        <v>2561478</v>
      </c>
      <c r="J10" s="7">
        <v>3841000</v>
      </c>
      <c r="K10" s="7">
        <v>1875694</v>
      </c>
      <c r="L10" s="7">
        <v>3519000</v>
      </c>
      <c r="M10" s="7">
        <v>1381500</v>
      </c>
      <c r="N10" s="7">
        <v>6647000</v>
      </c>
      <c r="O10" s="7">
        <f>2668000</f>
        <v>2668000</v>
      </c>
      <c r="P10" s="7">
        <f>2990000+1753500</f>
        <v>4743500</v>
      </c>
      <c r="Q10" s="7">
        <f>2714000</f>
        <v>2714000</v>
      </c>
      <c r="R10" s="7">
        <f t="shared" si="1"/>
        <v>36937772</v>
      </c>
    </row>
    <row r="11" spans="1:18">
      <c r="A11" s="5" t="s">
        <v>31</v>
      </c>
      <c r="B11" s="6" t="s">
        <v>32</v>
      </c>
      <c r="C11" s="7">
        <v>1200000000</v>
      </c>
      <c r="D11" s="7">
        <v>0</v>
      </c>
      <c r="E11" s="7">
        <f t="shared" si="0"/>
        <v>1200000000</v>
      </c>
      <c r="F11" s="7">
        <f>217743839-59665688</f>
        <v>158078151</v>
      </c>
      <c r="G11" s="7">
        <f>208703524-61362649+8000000</f>
        <v>155340875</v>
      </c>
      <c r="H11" s="7">
        <f>229745270-65560640</f>
        <v>164184630</v>
      </c>
      <c r="I11" s="7">
        <f>147895632-375382</f>
        <v>147520250</v>
      </c>
      <c r="J11" s="7">
        <v>161674323</v>
      </c>
      <c r="K11" s="7">
        <v>135469756</v>
      </c>
      <c r="L11" s="7">
        <v>183525871</v>
      </c>
      <c r="M11" s="7">
        <v>126432943</v>
      </c>
      <c r="N11" s="7">
        <v>162852993</v>
      </c>
      <c r="O11" s="7">
        <v>101876996</v>
      </c>
      <c r="P11" s="7">
        <v>74377753</v>
      </c>
      <c r="Q11" s="7">
        <v>128656380</v>
      </c>
      <c r="R11" s="7">
        <f t="shared" si="1"/>
        <v>1699990921</v>
      </c>
    </row>
    <row r="12" spans="1:18">
      <c r="A12" s="5" t="s">
        <v>33</v>
      </c>
      <c r="B12" s="6" t="s">
        <v>34</v>
      </c>
      <c r="C12" s="7">
        <v>20000000</v>
      </c>
      <c r="D12" s="7">
        <v>0</v>
      </c>
      <c r="E12" s="7">
        <f t="shared" si="0"/>
        <v>20000000</v>
      </c>
      <c r="F12" s="7">
        <f>1435200</f>
        <v>1435200</v>
      </c>
      <c r="G12" s="7">
        <f>34500+1559400</f>
        <v>1593900</v>
      </c>
      <c r="H12" s="7">
        <v>1504200</v>
      </c>
      <c r="I12" s="7">
        <v>1021200</v>
      </c>
      <c r="J12" s="7">
        <v>1407600</v>
      </c>
      <c r="K12" s="7">
        <v>1380000</v>
      </c>
      <c r="L12" s="7">
        <f>1421400+69000</f>
        <v>1490400</v>
      </c>
      <c r="M12" s="7">
        <f>103500+1421400</f>
        <v>1524900</v>
      </c>
      <c r="N12" s="7">
        <f>1531800</f>
        <v>1531800</v>
      </c>
      <c r="O12" s="7">
        <f>34500+1393800</f>
        <v>1428300</v>
      </c>
      <c r="P12" s="7">
        <f>1531800</f>
        <v>1531800</v>
      </c>
      <c r="Q12" s="7">
        <f>1738800</f>
        <v>1738800</v>
      </c>
      <c r="R12" s="7">
        <f t="shared" si="1"/>
        <v>17588100</v>
      </c>
    </row>
    <row r="13" spans="1:18">
      <c r="A13" s="5" t="s">
        <v>35</v>
      </c>
      <c r="B13" s="6" t="s">
        <v>36</v>
      </c>
      <c r="C13" s="7">
        <v>30000000</v>
      </c>
      <c r="D13" s="7">
        <v>0</v>
      </c>
      <c r="E13" s="7">
        <f t="shared" si="0"/>
        <v>30000000</v>
      </c>
      <c r="F13" s="7">
        <v>1780200</v>
      </c>
      <c r="G13" s="7">
        <v>2001000</v>
      </c>
      <c r="H13" s="7">
        <v>1890600</v>
      </c>
      <c r="I13" s="7">
        <v>1559400</v>
      </c>
      <c r="J13" s="7">
        <v>2125200</v>
      </c>
      <c r="K13" s="7">
        <v>1863000</v>
      </c>
      <c r="L13" s="7">
        <v>1821600</v>
      </c>
      <c r="M13" s="7">
        <v>1794000</v>
      </c>
      <c r="N13" s="7">
        <v>2180400</v>
      </c>
      <c r="O13" s="7">
        <v>2042400</v>
      </c>
      <c r="P13" s="7">
        <v>1890600</v>
      </c>
      <c r="Q13" s="7">
        <v>2373600</v>
      </c>
      <c r="R13" s="7">
        <f t="shared" si="1"/>
        <v>23322000</v>
      </c>
    </row>
    <row r="14" spans="1:18">
      <c r="A14" s="5" t="s">
        <v>37</v>
      </c>
      <c r="B14" s="6" t="s">
        <v>38</v>
      </c>
      <c r="C14" s="7">
        <v>70000000</v>
      </c>
      <c r="D14" s="7">
        <v>0</v>
      </c>
      <c r="E14" s="7">
        <f t="shared" si="0"/>
        <v>70000000</v>
      </c>
      <c r="F14" s="7">
        <v>6795678</v>
      </c>
      <c r="G14" s="7">
        <v>4225500</v>
      </c>
      <c r="H14" s="7">
        <v>5762130</v>
      </c>
      <c r="I14" s="7">
        <v>3344100</v>
      </c>
      <c r="J14" s="7">
        <v>6677100</v>
      </c>
      <c r="K14" s="7">
        <v>6731100</v>
      </c>
      <c r="L14" s="7">
        <v>4538400</v>
      </c>
      <c r="M14" s="7">
        <v>5893140</v>
      </c>
      <c r="N14" s="7">
        <v>9165484</v>
      </c>
      <c r="O14" s="7">
        <v>14739585</v>
      </c>
      <c r="P14" s="7">
        <v>7870800</v>
      </c>
      <c r="Q14" s="7">
        <v>8030290</v>
      </c>
      <c r="R14" s="7">
        <f t="shared" si="1"/>
        <v>83773307</v>
      </c>
    </row>
    <row r="15" spans="1:18">
      <c r="A15" s="5" t="s">
        <v>39</v>
      </c>
      <c r="B15" s="6" t="s">
        <v>40</v>
      </c>
      <c r="C15" s="7">
        <v>2000000</v>
      </c>
      <c r="D15" s="7">
        <v>0</v>
      </c>
      <c r="E15" s="7">
        <f t="shared" si="0"/>
        <v>2000000</v>
      </c>
      <c r="F15" s="7">
        <v>16584</v>
      </c>
      <c r="G15" s="7">
        <v>33562</v>
      </c>
      <c r="H15" s="7">
        <f>1658440</f>
        <v>1658440</v>
      </c>
      <c r="I15" s="7">
        <v>785642</v>
      </c>
      <c r="J15" s="7">
        <v>985623</v>
      </c>
      <c r="K15" s="7">
        <v>687452</v>
      </c>
      <c r="L15" s="7">
        <v>785623</v>
      </c>
      <c r="M15" s="7">
        <v>587462</v>
      </c>
      <c r="N15" s="7">
        <v>358745</v>
      </c>
      <c r="O15" s="7">
        <v>425878</v>
      </c>
      <c r="P15" s="7">
        <v>545897</v>
      </c>
      <c r="Q15" s="7">
        <v>498754</v>
      </c>
      <c r="R15" s="7">
        <f t="shared" si="1"/>
        <v>7369662</v>
      </c>
    </row>
    <row r="16" spans="1:18">
      <c r="A16" s="5" t="s">
        <v>41</v>
      </c>
      <c r="B16" s="6" t="s">
        <v>42</v>
      </c>
      <c r="C16" s="7">
        <v>410000000</v>
      </c>
      <c r="D16" s="7">
        <v>0</v>
      </c>
      <c r="E16" s="7">
        <f t="shared" si="0"/>
        <v>410000000</v>
      </c>
      <c r="F16" s="7">
        <f>37627852</f>
        <v>37627852</v>
      </c>
      <c r="G16" s="7">
        <v>41433634</v>
      </c>
      <c r="H16" s="7">
        <v>48756234</v>
      </c>
      <c r="I16" s="7">
        <v>34895642</v>
      </c>
      <c r="J16" s="7">
        <v>39745621</v>
      </c>
      <c r="K16" s="7">
        <v>28675424</v>
      </c>
      <c r="L16" s="7">
        <v>35897456</v>
      </c>
      <c r="M16" s="7">
        <v>29879456</v>
      </c>
      <c r="N16" s="7">
        <v>38975642</v>
      </c>
      <c r="O16" s="7">
        <v>42578986</v>
      </c>
      <c r="P16" s="7">
        <v>47891428</v>
      </c>
      <c r="Q16" s="7">
        <v>39875428</v>
      </c>
      <c r="R16" s="7">
        <f t="shared" si="1"/>
        <v>466232803</v>
      </c>
    </row>
    <row r="17" spans="1:18">
      <c r="A17" s="5" t="s">
        <v>43</v>
      </c>
      <c r="B17" s="6" t="s">
        <v>44</v>
      </c>
      <c r="C17" s="7">
        <v>5000000</v>
      </c>
      <c r="D17" s="7">
        <v>0</v>
      </c>
      <c r="E17" s="7">
        <f t="shared" si="0"/>
        <v>5000000</v>
      </c>
      <c r="F17" s="7">
        <v>156730</v>
      </c>
      <c r="G17" s="7">
        <v>219422</v>
      </c>
      <c r="H17" s="7">
        <v>329133</v>
      </c>
      <c r="I17" s="7">
        <v>266441</v>
      </c>
      <c r="J17" s="7">
        <v>325689</v>
      </c>
      <c r="K17" s="7">
        <v>295648</v>
      </c>
      <c r="L17" s="7">
        <v>203749</v>
      </c>
      <c r="M17" s="7">
        <v>297787</v>
      </c>
      <c r="N17" s="7">
        <v>313460</v>
      </c>
      <c r="O17" s="7">
        <v>391825</v>
      </c>
      <c r="P17" s="7">
        <v>397787</v>
      </c>
      <c r="Q17" s="7">
        <v>344806</v>
      </c>
      <c r="R17" s="7">
        <f t="shared" si="1"/>
        <v>3542477</v>
      </c>
    </row>
    <row r="18" spans="1:18">
      <c r="A18" s="5" t="s">
        <v>45</v>
      </c>
      <c r="B18" s="6" t="s">
        <v>46</v>
      </c>
      <c r="C18" s="7">
        <v>600000000</v>
      </c>
      <c r="D18" s="7">
        <v>0</v>
      </c>
      <c r="E18" s="7">
        <f t="shared" si="0"/>
        <v>600000000</v>
      </c>
      <c r="F18" s="7">
        <v>113251063</v>
      </c>
      <c r="G18" s="7">
        <v>79038256</v>
      </c>
      <c r="H18" s="7">
        <v>90638516</v>
      </c>
      <c r="I18" s="7">
        <f>48397155+90</f>
        <v>48397245</v>
      </c>
      <c r="J18" s="7">
        <v>52907286</v>
      </c>
      <c r="K18" s="7">
        <v>55483339</v>
      </c>
      <c r="L18" s="7">
        <v>62624698</v>
      </c>
      <c r="M18" s="7">
        <v>40443739</v>
      </c>
      <c r="N18" s="7">
        <v>56297921</v>
      </c>
      <c r="O18" s="7">
        <v>79799530</v>
      </c>
      <c r="P18" s="7">
        <v>60066777</v>
      </c>
      <c r="Q18" s="7">
        <v>75163236</v>
      </c>
      <c r="R18" s="7">
        <f t="shared" si="1"/>
        <v>814111606</v>
      </c>
    </row>
    <row r="19" spans="1:18">
      <c r="A19" s="5" t="s">
        <v>47</v>
      </c>
      <c r="B19" s="6" t="s">
        <v>48</v>
      </c>
      <c r="C19" s="7">
        <v>60000000</v>
      </c>
      <c r="D19" s="7">
        <v>0</v>
      </c>
      <c r="E19" s="7">
        <f t="shared" si="0"/>
        <v>60000000</v>
      </c>
      <c r="F19" s="7">
        <f>313*48147</f>
        <v>15070011</v>
      </c>
      <c r="G19" s="7">
        <f>373*48147</f>
        <v>17958831</v>
      </c>
      <c r="H19" s="7">
        <v>23456842</v>
      </c>
      <c r="I19" s="7">
        <v>16756243</v>
      </c>
      <c r="J19" s="7">
        <v>17896542</v>
      </c>
      <c r="K19" s="7">
        <v>14789568</v>
      </c>
      <c r="L19" s="7">
        <v>19589752</v>
      </c>
      <c r="M19" s="7">
        <v>16458796</v>
      </c>
      <c r="N19" s="7">
        <v>15789416</v>
      </c>
      <c r="O19" s="7">
        <v>14568975</v>
      </c>
      <c r="P19" s="7">
        <v>18975424</v>
      </c>
      <c r="Q19" s="7">
        <v>13547895</v>
      </c>
      <c r="R19" s="7">
        <f t="shared" si="1"/>
        <v>204858295</v>
      </c>
    </row>
    <row r="20" spans="1:18">
      <c r="A20" s="5" t="s">
        <v>49</v>
      </c>
      <c r="B20" s="6" t="s">
        <v>50</v>
      </c>
      <c r="C20" s="7">
        <v>15000000</v>
      </c>
      <c r="D20" s="7">
        <v>0</v>
      </c>
      <c r="E20" s="7">
        <f t="shared" si="0"/>
        <v>15000000</v>
      </c>
      <c r="F20" s="7">
        <v>875642</v>
      </c>
      <c r="G20" s="7">
        <v>745689</v>
      </c>
      <c r="H20" s="7">
        <v>1025463</v>
      </c>
      <c r="I20" s="7">
        <v>658923</v>
      </c>
      <c r="J20" s="7">
        <v>745632</v>
      </c>
      <c r="K20" s="7">
        <v>456288</v>
      </c>
      <c r="L20" s="7">
        <v>689745</v>
      </c>
      <c r="M20" s="7">
        <v>468972</v>
      </c>
      <c r="N20" s="7">
        <v>687592</v>
      </c>
      <c r="O20" s="7">
        <v>695248</v>
      </c>
      <c r="P20" s="7">
        <v>789426</v>
      </c>
      <c r="Q20" s="7">
        <v>456284</v>
      </c>
      <c r="R20" s="7">
        <f t="shared" si="1"/>
        <v>8294904</v>
      </c>
    </row>
    <row r="21" spans="1:18">
      <c r="A21" s="5" t="s">
        <v>51</v>
      </c>
      <c r="B21" s="6" t="s">
        <v>52</v>
      </c>
      <c r="C21" s="7">
        <v>40000000</v>
      </c>
      <c r="D21" s="7">
        <v>0</v>
      </c>
      <c r="E21" s="7">
        <f t="shared" si="0"/>
        <v>40000000</v>
      </c>
      <c r="F21" s="7">
        <v>4266500</v>
      </c>
      <c r="G21" s="7">
        <v>4704000</v>
      </c>
      <c r="H21" s="7">
        <v>4263000</v>
      </c>
      <c r="I21" s="7">
        <v>4200000</v>
      </c>
      <c r="J21" s="7">
        <v>6006000</v>
      </c>
      <c r="K21" s="7">
        <v>4410000</v>
      </c>
      <c r="L21" s="7">
        <v>5523000</v>
      </c>
      <c r="M21" s="7">
        <v>4137000</v>
      </c>
      <c r="N21" s="7">
        <v>4452000</v>
      </c>
      <c r="O21" s="7">
        <v>4767000</v>
      </c>
      <c r="P21" s="7">
        <f>4683000+589742</f>
        <v>5272742</v>
      </c>
      <c r="Q21" s="7">
        <v>6103000</v>
      </c>
      <c r="R21" s="7">
        <f t="shared" si="1"/>
        <v>58104242</v>
      </c>
    </row>
    <row r="22" spans="1:18">
      <c r="A22" s="5" t="s">
        <v>53</v>
      </c>
      <c r="B22" s="6" t="s">
        <v>54</v>
      </c>
      <c r="C22" s="7">
        <v>60000000</v>
      </c>
      <c r="D22" s="7">
        <v>0</v>
      </c>
      <c r="E22" s="7">
        <f t="shared" si="0"/>
        <v>60000000</v>
      </c>
      <c r="F22" s="7">
        <v>4917276</v>
      </c>
      <c r="G22" s="7">
        <v>5450000</v>
      </c>
      <c r="H22" s="7">
        <v>8161164</v>
      </c>
      <c r="I22" s="7">
        <v>3568974</v>
      </c>
      <c r="J22" s="7">
        <v>5897462</v>
      </c>
      <c r="K22" s="7">
        <v>4875694</v>
      </c>
      <c r="L22" s="7">
        <v>8032080</v>
      </c>
      <c r="M22" s="7">
        <v>6879456</v>
      </c>
      <c r="N22" s="7">
        <v>6458712</v>
      </c>
      <c r="O22" s="7">
        <v>5432393</v>
      </c>
      <c r="P22" s="7">
        <v>6054782</v>
      </c>
      <c r="Q22" s="7">
        <v>4848927</v>
      </c>
      <c r="R22" s="7">
        <f t="shared" si="1"/>
        <v>70576920</v>
      </c>
    </row>
    <row r="23" spans="1:18">
      <c r="A23" s="5" t="s">
        <v>55</v>
      </c>
      <c r="B23" s="6" t="s">
        <v>56</v>
      </c>
      <c r="C23" s="7">
        <v>3000000</v>
      </c>
      <c r="D23" s="7">
        <v>0</v>
      </c>
      <c r="E23" s="7">
        <f t="shared" si="0"/>
        <v>3000000</v>
      </c>
      <c r="F23" s="7">
        <v>256478</v>
      </c>
      <c r="G23" s="7">
        <v>321458</v>
      </c>
      <c r="H23" s="7">
        <v>356852</v>
      </c>
      <c r="I23" s="7">
        <v>314563</v>
      </c>
      <c r="J23" s="7">
        <v>374124</v>
      </c>
      <c r="K23" s="7">
        <v>245872</v>
      </c>
      <c r="L23" s="7">
        <v>175482</v>
      </c>
      <c r="M23" s="7">
        <v>145874</v>
      </c>
      <c r="N23" s="7">
        <v>112488</v>
      </c>
      <c r="O23" s="7">
        <v>121472</v>
      </c>
      <c r="P23" s="7">
        <v>145874</v>
      </c>
      <c r="Q23" s="7">
        <v>94875</v>
      </c>
      <c r="R23" s="7">
        <f t="shared" si="1"/>
        <v>2665412</v>
      </c>
    </row>
    <row r="24" spans="1:18">
      <c r="A24" s="5" t="s">
        <v>57</v>
      </c>
      <c r="B24" s="6" t="s">
        <v>58</v>
      </c>
      <c r="C24" s="7">
        <v>20000000</v>
      </c>
      <c r="D24" s="7">
        <v>0</v>
      </c>
      <c r="E24" s="7">
        <f t="shared" si="0"/>
        <v>20000000</v>
      </c>
      <c r="F24" s="7">
        <v>1759862</v>
      </c>
      <c r="G24" s="7">
        <v>1568974</v>
      </c>
      <c r="H24" s="7">
        <v>2586412</v>
      </c>
      <c r="I24" s="7">
        <v>1689756</v>
      </c>
      <c r="J24" s="7">
        <v>1423986</v>
      </c>
      <c r="K24" s="7">
        <v>1745628</v>
      </c>
      <c r="L24" s="7">
        <v>1589732</v>
      </c>
      <c r="M24" s="7">
        <v>1358752</v>
      </c>
      <c r="N24" s="7">
        <v>1095874</v>
      </c>
      <c r="O24" s="7">
        <v>1245876</v>
      </c>
      <c r="P24" s="7">
        <v>1687952</v>
      </c>
      <c r="Q24" s="7">
        <v>1456872</v>
      </c>
      <c r="R24" s="7">
        <f t="shared" si="1"/>
        <v>19209676</v>
      </c>
    </row>
    <row r="25" spans="1:18">
      <c r="A25" s="5" t="s">
        <v>59</v>
      </c>
      <c r="B25" s="6" t="s">
        <v>60</v>
      </c>
      <c r="C25" s="7">
        <v>32000000</v>
      </c>
      <c r="D25" s="7">
        <v>0</v>
      </c>
      <c r="E25" s="7">
        <f t="shared" si="0"/>
        <v>32000000</v>
      </c>
      <c r="F25" s="7">
        <v>878943</v>
      </c>
      <c r="G25" s="7">
        <v>465238</v>
      </c>
      <c r="H25" s="7">
        <v>652389</v>
      </c>
      <c r="I25" s="7">
        <v>785694</v>
      </c>
      <c r="J25" s="7">
        <v>856424</v>
      </c>
      <c r="K25" s="7">
        <v>642478</v>
      </c>
      <c r="L25" s="7">
        <v>445074</v>
      </c>
      <c r="M25" s="7">
        <v>258744</v>
      </c>
      <c r="N25" s="7">
        <v>354897</v>
      </c>
      <c r="O25" s="7">
        <v>985462</v>
      </c>
      <c r="P25" s="7">
        <v>798256</v>
      </c>
      <c r="Q25" s="7">
        <v>202548</v>
      </c>
      <c r="R25" s="7">
        <f t="shared" si="1"/>
        <v>7326147</v>
      </c>
    </row>
    <row r="26" spans="1:18">
      <c r="A26" s="5" t="s">
        <v>61</v>
      </c>
      <c r="B26" s="6" t="s">
        <v>62</v>
      </c>
      <c r="C26" s="7">
        <v>90000000</v>
      </c>
      <c r="D26" s="7">
        <v>0</v>
      </c>
      <c r="E26" s="7">
        <f t="shared" si="0"/>
        <v>90000000</v>
      </c>
      <c r="F26" s="7">
        <f>6104200</f>
        <v>6104200</v>
      </c>
      <c r="G26" s="7">
        <v>5563287</v>
      </c>
      <c r="H26" s="7">
        <v>7589623</v>
      </c>
      <c r="I26" s="7">
        <v>3546982</v>
      </c>
      <c r="J26" s="7">
        <v>4052648</v>
      </c>
      <c r="K26" s="7">
        <v>3875245</v>
      </c>
      <c r="L26" s="7">
        <v>4986587</v>
      </c>
      <c r="M26" s="7">
        <v>3587412</v>
      </c>
      <c r="N26" s="7">
        <v>2987564</v>
      </c>
      <c r="O26" s="7">
        <v>3568972</v>
      </c>
      <c r="P26" s="7">
        <v>2456954</v>
      </c>
      <c r="Q26" s="7">
        <v>1985784</v>
      </c>
      <c r="R26" s="7">
        <f t="shared" si="1"/>
        <v>50305258</v>
      </c>
    </row>
    <row r="27" spans="1:18">
      <c r="A27" s="5" t="s">
        <v>63</v>
      </c>
      <c r="B27" s="6" t="s">
        <v>64</v>
      </c>
      <c r="C27" s="7">
        <v>2000000</v>
      </c>
      <c r="D27" s="7">
        <v>0</v>
      </c>
      <c r="E27" s="7">
        <f t="shared" si="0"/>
        <v>2000000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1"/>
        <v>0</v>
      </c>
    </row>
    <row r="28" spans="1:18">
      <c r="A28" s="5" t="s">
        <v>65</v>
      </c>
      <c r="B28" s="6" t="s">
        <v>66</v>
      </c>
      <c r="C28" s="7">
        <v>4500000</v>
      </c>
      <c r="D28" s="7">
        <v>0</v>
      </c>
      <c r="E28" s="7">
        <f t="shared" si="0"/>
        <v>4500000</v>
      </c>
      <c r="F28" s="7">
        <v>568795</v>
      </c>
      <c r="G28" s="7">
        <v>368975</v>
      </c>
      <c r="H28" s="7">
        <v>452681</v>
      </c>
      <c r="I28" s="7">
        <v>658972</v>
      </c>
      <c r="J28" s="7">
        <v>587944</v>
      </c>
      <c r="K28" s="7">
        <v>425742</v>
      </c>
      <c r="L28" s="7">
        <v>689742</v>
      </c>
      <c r="M28" s="7">
        <v>487228</v>
      </c>
      <c r="N28" s="7">
        <v>385974</v>
      </c>
      <c r="O28" s="7">
        <v>402578</v>
      </c>
      <c r="P28" s="7">
        <v>652488</v>
      </c>
      <c r="Q28" s="7">
        <v>398524</v>
      </c>
      <c r="R28" s="7">
        <f t="shared" si="1"/>
        <v>6079643</v>
      </c>
    </row>
    <row r="29" spans="1:18">
      <c r="A29" s="5" t="s">
        <v>67</v>
      </c>
      <c r="B29" s="6" t="s">
        <v>68</v>
      </c>
      <c r="C29" s="7">
        <v>200000</v>
      </c>
      <c r="D29" s="7">
        <v>0</v>
      </c>
      <c r="E29" s="7">
        <f t="shared" si="0"/>
        <v>200000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1"/>
        <v>0</v>
      </c>
    </row>
    <row r="30" spans="1:18">
      <c r="A30" s="5" t="s">
        <v>69</v>
      </c>
      <c r="B30" s="6" t="s">
        <v>70</v>
      </c>
      <c r="C30" s="7">
        <v>3000000</v>
      </c>
      <c r="D30" s="7">
        <v>0</v>
      </c>
      <c r="E30" s="7">
        <f t="shared" si="0"/>
        <v>3000000</v>
      </c>
      <c r="F30" s="7">
        <v>125478</v>
      </c>
      <c r="G30" s="7">
        <v>84562</v>
      </c>
      <c r="H30" s="7">
        <v>145289</v>
      </c>
      <c r="I30" s="7">
        <v>98563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1"/>
        <v>453892</v>
      </c>
    </row>
    <row r="31" spans="1:18">
      <c r="A31" s="5" t="s">
        <v>71</v>
      </c>
      <c r="B31" s="6" t="s">
        <v>72</v>
      </c>
      <c r="C31" s="7">
        <v>20000000</v>
      </c>
      <c r="D31" s="7">
        <v>0</v>
      </c>
      <c r="E31" s="7">
        <f t="shared" si="0"/>
        <v>20000000</v>
      </c>
      <c r="F31" s="7">
        <v>895264</v>
      </c>
      <c r="G31" s="7">
        <v>652398</v>
      </c>
      <c r="H31" s="7">
        <v>702456</v>
      </c>
      <c r="I31" s="7">
        <v>856249</v>
      </c>
      <c r="J31" s="7">
        <v>985624</v>
      </c>
      <c r="K31" s="7">
        <v>425872</v>
      </c>
      <c r="L31" s="7">
        <v>1254687</v>
      </c>
      <c r="M31" s="7">
        <v>985644</v>
      </c>
      <c r="N31" s="7">
        <v>448976</v>
      </c>
      <c r="O31" s="7">
        <v>324756</v>
      </c>
      <c r="P31" s="7">
        <v>432148</v>
      </c>
      <c r="Q31" s="7">
        <v>254786</v>
      </c>
      <c r="R31" s="7">
        <f t="shared" si="1"/>
        <v>8218860</v>
      </c>
    </row>
    <row r="32" spans="1:18">
      <c r="A32" s="5" t="s">
        <v>73</v>
      </c>
      <c r="B32" s="6" t="s">
        <v>74</v>
      </c>
      <c r="C32" s="7">
        <v>7000000</v>
      </c>
      <c r="D32" s="7">
        <v>0</v>
      </c>
      <c r="E32" s="7">
        <f t="shared" si="0"/>
        <v>7000000</v>
      </c>
      <c r="F32" s="7">
        <v>356874</v>
      </c>
      <c r="G32" s="7">
        <v>452686</v>
      </c>
      <c r="H32" s="7">
        <v>546217</v>
      </c>
      <c r="I32" s="7">
        <v>452871</v>
      </c>
      <c r="J32" s="7">
        <v>684972</v>
      </c>
      <c r="K32" s="7">
        <v>587452</v>
      </c>
      <c r="L32" s="7">
        <v>748936</v>
      </c>
      <c r="M32" s="7">
        <v>697422</v>
      </c>
      <c r="N32" s="7">
        <v>689764</v>
      </c>
      <c r="O32" s="7">
        <v>704526</v>
      </c>
      <c r="P32" s="7">
        <v>821452</v>
      </c>
      <c r="Q32" s="7">
        <v>652874</v>
      </c>
      <c r="R32" s="7">
        <f t="shared" si="1"/>
        <v>7396046</v>
      </c>
    </row>
    <row r="33" spans="1:18">
      <c r="A33" s="5" t="s">
        <v>75</v>
      </c>
      <c r="B33" s="6" t="s">
        <v>76</v>
      </c>
      <c r="C33" s="7">
        <v>100000</v>
      </c>
      <c r="D33" s="7">
        <v>0</v>
      </c>
      <c r="E33" s="7">
        <f t="shared" si="0"/>
        <v>100000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1"/>
        <v>0</v>
      </c>
    </row>
    <row r="34" spans="1:18">
      <c r="A34" s="5" t="s">
        <v>77</v>
      </c>
      <c r="B34" s="6" t="s">
        <v>78</v>
      </c>
      <c r="C34" s="7">
        <v>3000000</v>
      </c>
      <c r="D34" s="7">
        <v>0</v>
      </c>
      <c r="E34" s="7">
        <f t="shared" si="0"/>
        <v>3000000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1"/>
        <v>0</v>
      </c>
    </row>
    <row r="35" spans="1:18">
      <c r="A35" s="5" t="s">
        <v>79</v>
      </c>
      <c r="B35" s="6" t="s">
        <v>80</v>
      </c>
      <c r="C35" s="7">
        <v>2000000</v>
      </c>
      <c r="D35" s="7">
        <v>0</v>
      </c>
      <c r="E35" s="7">
        <f t="shared" si="0"/>
        <v>2000000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1"/>
        <v>0</v>
      </c>
    </row>
    <row r="36" spans="1:18">
      <c r="A36" s="5" t="s">
        <v>81</v>
      </c>
      <c r="B36" s="6" t="s">
        <v>82</v>
      </c>
      <c r="C36" s="7">
        <v>80000000</v>
      </c>
      <c r="D36" s="7">
        <v>0</v>
      </c>
      <c r="E36" s="7">
        <f t="shared" si="0"/>
        <v>80000000</v>
      </c>
      <c r="F36" s="7">
        <v>3593200</v>
      </c>
      <c r="G36" s="7">
        <v>9800200</v>
      </c>
      <c r="H36" s="7">
        <v>6523745</v>
      </c>
      <c r="I36" s="7">
        <v>2627000</v>
      </c>
      <c r="J36" s="7">
        <v>1114600</v>
      </c>
      <c r="K36" s="7">
        <v>10826200</v>
      </c>
      <c r="L36" s="7">
        <v>15203600</v>
      </c>
      <c r="M36" s="7">
        <v>1692000</v>
      </c>
      <c r="N36" s="7">
        <v>896600</v>
      </c>
      <c r="O36" s="7">
        <v>18542200</v>
      </c>
      <c r="P36" s="7">
        <v>3408200</v>
      </c>
      <c r="Q36" s="7">
        <v>9356200</v>
      </c>
      <c r="R36" s="7">
        <f t="shared" si="1"/>
        <v>83583745</v>
      </c>
    </row>
    <row r="37" spans="1:18">
      <c r="A37" s="5" t="s">
        <v>83</v>
      </c>
      <c r="B37" s="6" t="s">
        <v>84</v>
      </c>
      <c r="C37" s="7">
        <v>20000000</v>
      </c>
      <c r="D37" s="7">
        <v>0</v>
      </c>
      <c r="E37" s="7">
        <f t="shared" si="0"/>
        <v>20000000</v>
      </c>
      <c r="F37" s="7">
        <v>2316000</v>
      </c>
      <c r="G37" s="7">
        <v>2475000</v>
      </c>
      <c r="H37" s="7">
        <v>2340000</v>
      </c>
      <c r="I37" s="7">
        <v>1575000</v>
      </c>
      <c r="J37" s="7">
        <v>2250000</v>
      </c>
      <c r="K37" s="7">
        <v>2047500</v>
      </c>
      <c r="L37" s="7">
        <v>2227500</v>
      </c>
      <c r="M37" s="7">
        <v>2227500</v>
      </c>
      <c r="N37" s="7">
        <v>2475000</v>
      </c>
      <c r="O37" s="7">
        <v>2205000</v>
      </c>
      <c r="P37" s="7">
        <v>2385000</v>
      </c>
      <c r="Q37" s="7">
        <v>2677500</v>
      </c>
      <c r="R37" s="7">
        <f t="shared" si="1"/>
        <v>27201000</v>
      </c>
    </row>
    <row r="38" spans="1:18">
      <c r="A38" s="5" t="s">
        <v>85</v>
      </c>
      <c r="B38" s="6" t="s">
        <v>86</v>
      </c>
      <c r="C38" s="7">
        <v>10000000</v>
      </c>
      <c r="D38" s="7">
        <v>0</v>
      </c>
      <c r="E38" s="7">
        <f t="shared" si="0"/>
        <v>10000000</v>
      </c>
      <c r="F38" s="7">
        <v>604800</v>
      </c>
      <c r="G38" s="7">
        <v>928000</v>
      </c>
      <c r="H38" s="7">
        <v>1245876</v>
      </c>
      <c r="I38" s="7">
        <v>1404800</v>
      </c>
      <c r="J38" s="7">
        <v>1895642</v>
      </c>
      <c r="K38" s="7">
        <v>1152000</v>
      </c>
      <c r="L38" s="7">
        <v>2569872</v>
      </c>
      <c r="M38" s="7">
        <v>1280000</v>
      </c>
      <c r="N38" s="7">
        <v>1404800</v>
      </c>
      <c r="O38" s="7">
        <v>1225600</v>
      </c>
      <c r="P38" s="7">
        <v>1443200</v>
      </c>
      <c r="Q38" s="7">
        <v>987526</v>
      </c>
      <c r="R38" s="7">
        <f t="shared" si="1"/>
        <v>16142116</v>
      </c>
    </row>
    <row r="39" spans="1:18">
      <c r="A39" s="5" t="s">
        <v>87</v>
      </c>
      <c r="B39" s="6" t="s">
        <v>88</v>
      </c>
      <c r="C39" s="7">
        <v>80000000</v>
      </c>
      <c r="D39" s="7">
        <v>0</v>
      </c>
      <c r="E39" s="7">
        <f t="shared" si="0"/>
        <v>80000000</v>
      </c>
      <c r="F39" s="7">
        <v>86061873</v>
      </c>
      <c r="G39" s="7">
        <v>83668767</v>
      </c>
      <c r="H39" s="7">
        <v>96005091</v>
      </c>
      <c r="I39" s="7">
        <v>65613090</v>
      </c>
      <c r="J39" s="7">
        <v>59232052</v>
      </c>
      <c r="K39" s="7">
        <v>49918861</v>
      </c>
      <c r="L39" s="7">
        <v>75837261</v>
      </c>
      <c r="M39" s="7">
        <v>71284431</v>
      </c>
      <c r="N39" s="7">
        <v>70281644</v>
      </c>
      <c r="O39" s="7">
        <v>69097541</v>
      </c>
      <c r="P39" s="7">
        <v>51648454</v>
      </c>
      <c r="Q39" s="7">
        <v>66536966</v>
      </c>
      <c r="R39" s="7">
        <f t="shared" si="1"/>
        <v>845186031</v>
      </c>
    </row>
    <row r="40" spans="1:18">
      <c r="A40" s="5" t="s">
        <v>89</v>
      </c>
      <c r="B40" s="6" t="s">
        <v>90</v>
      </c>
      <c r="C40" s="7">
        <v>500000</v>
      </c>
      <c r="D40" s="7">
        <v>0</v>
      </c>
      <c r="E40" s="7">
        <f t="shared" si="0"/>
        <v>500000</v>
      </c>
      <c r="F40" s="7">
        <v>50400</v>
      </c>
      <c r="G40" s="7">
        <v>61200</v>
      </c>
      <c r="H40" s="7">
        <v>10200</v>
      </c>
      <c r="I40" s="7">
        <v>10200</v>
      </c>
      <c r="J40" s="7">
        <v>61200</v>
      </c>
      <c r="K40" s="7">
        <v>51000</v>
      </c>
      <c r="L40" s="7">
        <v>51000</v>
      </c>
      <c r="M40" s="7">
        <v>78952</v>
      </c>
      <c r="N40" s="7">
        <v>51000</v>
      </c>
      <c r="O40" s="7">
        <v>10400</v>
      </c>
      <c r="P40" s="7">
        <v>30600</v>
      </c>
      <c r="Q40" s="7">
        <v>61200</v>
      </c>
      <c r="R40" s="7">
        <f t="shared" si="1"/>
        <v>527352</v>
      </c>
    </row>
    <row r="41" spans="1:18">
      <c r="A41" s="5" t="s">
        <v>91</v>
      </c>
      <c r="B41" s="6" t="s">
        <v>92</v>
      </c>
      <c r="C41" s="7">
        <v>2000000</v>
      </c>
      <c r="D41" s="7">
        <v>0</v>
      </c>
      <c r="E41" s="7">
        <f t="shared" si="0"/>
        <v>2000000</v>
      </c>
      <c r="F41" s="7">
        <v>13800</v>
      </c>
      <c r="G41" s="7">
        <f>F41*3</f>
        <v>41400</v>
      </c>
      <c r="H41" s="7">
        <v>41400</v>
      </c>
      <c r="I41" s="7">
        <v>20485</v>
      </c>
      <c r="J41" s="7">
        <v>252000</v>
      </c>
      <c r="K41" s="7">
        <v>210000</v>
      </c>
      <c r="L41" s="7">
        <v>365842</v>
      </c>
      <c r="M41" s="7">
        <v>196000</v>
      </c>
      <c r="N41" s="7">
        <v>28000</v>
      </c>
      <c r="O41" s="7">
        <v>42000</v>
      </c>
      <c r="P41" s="7">
        <v>36000</v>
      </c>
      <c r="Q41" s="7">
        <v>28000</v>
      </c>
      <c r="R41" s="7">
        <f t="shared" si="1"/>
        <v>1274927</v>
      </c>
    </row>
    <row r="42" spans="1:18">
      <c r="A42" s="5" t="s">
        <v>93</v>
      </c>
      <c r="B42" s="6" t="s">
        <v>94</v>
      </c>
      <c r="C42" s="7">
        <v>100000</v>
      </c>
      <c r="D42" s="7">
        <v>0</v>
      </c>
      <c r="E42" s="7">
        <f t="shared" si="0"/>
        <v>100000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>
      <c r="A43" s="5" t="s">
        <v>95</v>
      </c>
      <c r="B43" s="6" t="s">
        <v>96</v>
      </c>
      <c r="C43" s="7">
        <v>2000000</v>
      </c>
      <c r="D43" s="7">
        <v>0</v>
      </c>
      <c r="E43" s="7">
        <f t="shared" si="0"/>
        <v>2000000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>
      <c r="A44" s="5" t="s">
        <v>97</v>
      </c>
      <c r="B44" s="6" t="s">
        <v>98</v>
      </c>
      <c r="C44" s="7">
        <v>12000000</v>
      </c>
      <c r="D44" s="7">
        <v>0</v>
      </c>
      <c r="E44" s="7">
        <f t="shared" si="0"/>
        <v>12000000</v>
      </c>
      <c r="F44" s="7">
        <v>562147</v>
      </c>
      <c r="G44" s="7">
        <v>752346</v>
      </c>
      <c r="H44" s="7">
        <v>965244</v>
      </c>
      <c r="I44" s="7">
        <v>856242</v>
      </c>
      <c r="J44" s="7">
        <v>1025688</v>
      </c>
      <c r="K44" s="7">
        <v>985642</v>
      </c>
      <c r="L44" s="7">
        <v>2456818</v>
      </c>
      <c r="M44" s="7">
        <v>1254698</v>
      </c>
      <c r="N44" s="7">
        <v>1175968</v>
      </c>
      <c r="O44" s="7">
        <v>1589745</v>
      </c>
      <c r="P44" s="7">
        <v>2547896</v>
      </c>
      <c r="Q44" s="7">
        <v>1458763</v>
      </c>
      <c r="R44" s="7">
        <f t="shared" si="1"/>
        <v>15631197</v>
      </c>
    </row>
    <row r="45" spans="1:18">
      <c r="A45" s="5" t="s">
        <v>99</v>
      </c>
      <c r="B45" s="6" t="s">
        <v>100</v>
      </c>
      <c r="C45" s="7">
        <v>2000000</v>
      </c>
      <c r="D45" s="7">
        <v>0</v>
      </c>
      <c r="E45" s="7">
        <f t="shared" si="0"/>
        <v>2000000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>
      <c r="A46" s="5" t="s">
        <v>101</v>
      </c>
      <c r="B46" s="6" t="s">
        <v>102</v>
      </c>
      <c r="C46" s="7">
        <v>6000000</v>
      </c>
      <c r="D46" s="7">
        <v>0</v>
      </c>
      <c r="E46" s="7">
        <f t="shared" si="0"/>
        <v>6000000</v>
      </c>
      <c r="F46" s="7">
        <v>235864</v>
      </c>
      <c r="G46" s="7">
        <v>123548</v>
      </c>
      <c r="H46" s="7">
        <v>245387</v>
      </c>
      <c r="I46" s="7">
        <v>146828</v>
      </c>
      <c r="J46" s="7">
        <v>98564</v>
      </c>
      <c r="K46" s="7">
        <v>112458</v>
      </c>
      <c r="L46" s="7">
        <v>165844</v>
      </c>
      <c r="M46" s="7">
        <v>112464</v>
      </c>
      <c r="N46" s="7">
        <v>87954</v>
      </c>
      <c r="O46" s="7">
        <v>102458</v>
      </c>
      <c r="P46" s="7">
        <v>145876</v>
      </c>
      <c r="Q46" s="7">
        <v>98752</v>
      </c>
      <c r="R46" s="7">
        <f t="shared" si="1"/>
        <v>1675997</v>
      </c>
    </row>
    <row r="47" spans="1:18">
      <c r="A47" s="5" t="s">
        <v>103</v>
      </c>
      <c r="B47" s="6" t="s">
        <v>104</v>
      </c>
      <c r="C47" s="7">
        <v>12000000</v>
      </c>
      <c r="D47" s="7">
        <v>0</v>
      </c>
      <c r="E47" s="7">
        <f t="shared" si="0"/>
        <v>12000000</v>
      </c>
      <c r="F47" s="7">
        <v>1682600</v>
      </c>
      <c r="G47" s="7">
        <v>1885700</v>
      </c>
      <c r="H47" s="7">
        <v>1235844</v>
      </c>
      <c r="I47" s="7">
        <v>1107200</v>
      </c>
      <c r="J47" s="7">
        <v>1626200</v>
      </c>
      <c r="K47" s="7">
        <v>1425688</v>
      </c>
      <c r="L47" s="7">
        <v>1712700</v>
      </c>
      <c r="M47" s="7">
        <v>1712700</v>
      </c>
      <c r="N47" s="7">
        <v>1903000</v>
      </c>
      <c r="O47" s="7">
        <v>2048756</v>
      </c>
      <c r="P47" s="7">
        <v>2589744</v>
      </c>
      <c r="Q47" s="7">
        <v>2024100</v>
      </c>
      <c r="R47" s="7">
        <f t="shared" si="1"/>
        <v>20954232</v>
      </c>
    </row>
    <row r="48" spans="1:18">
      <c r="A48" s="5" t="s">
        <v>105</v>
      </c>
      <c r="B48" s="6" t="s">
        <v>106</v>
      </c>
      <c r="C48" s="7">
        <v>14600000</v>
      </c>
      <c r="D48" s="7">
        <v>0</v>
      </c>
      <c r="E48" s="7">
        <f t="shared" si="0"/>
        <v>14600000</v>
      </c>
      <c r="F48" s="7">
        <v>1865954</v>
      </c>
      <c r="G48" s="7">
        <v>1563892</v>
      </c>
      <c r="H48" s="7">
        <v>986584</v>
      </c>
      <c r="I48" s="7">
        <v>687646</v>
      </c>
      <c r="J48" s="7">
        <v>198151</v>
      </c>
      <c r="K48" s="7">
        <v>789456</v>
      </c>
      <c r="L48" s="7">
        <v>1345896</v>
      </c>
      <c r="M48" s="7">
        <f>987563+486395</f>
        <v>1473958</v>
      </c>
      <c r="N48" s="7">
        <v>1854698</v>
      </c>
      <c r="O48" s="7">
        <v>2568974</v>
      </c>
      <c r="P48" s="7">
        <v>2956424</v>
      </c>
      <c r="Q48" s="7">
        <v>1896542</v>
      </c>
      <c r="R48" s="7">
        <f t="shared" si="1"/>
        <v>18188175</v>
      </c>
    </row>
    <row r="49" spans="1:18">
      <c r="A49" s="9"/>
      <c r="B49" s="10" t="s">
        <v>107</v>
      </c>
      <c r="C49" s="11">
        <f>SUM(C6:C48)</f>
        <v>6280000000</v>
      </c>
      <c r="D49" s="11">
        <f t="shared" ref="D49:R49" si="2">SUM(D6:D48)</f>
        <v>0</v>
      </c>
      <c r="E49" s="11">
        <f t="shared" si="2"/>
        <v>6280000000</v>
      </c>
      <c r="F49" s="11">
        <f t="shared" si="2"/>
        <v>772083097</v>
      </c>
      <c r="G49" s="11">
        <f t="shared" si="2"/>
        <v>694678089</v>
      </c>
      <c r="H49" s="11">
        <f t="shared" si="2"/>
        <v>748319692</v>
      </c>
      <c r="I49" s="11">
        <f t="shared" si="2"/>
        <v>523313155</v>
      </c>
      <c r="J49" s="11">
        <f t="shared" si="2"/>
        <v>614609986</v>
      </c>
      <c r="K49" s="11">
        <f t="shared" si="2"/>
        <v>578802732</v>
      </c>
      <c r="L49" s="11">
        <f t="shared" si="2"/>
        <v>814572335</v>
      </c>
      <c r="M49" s="11">
        <f t="shared" si="2"/>
        <v>520223641</v>
      </c>
      <c r="N49" s="11">
        <f t="shared" si="2"/>
        <v>587124859</v>
      </c>
      <c r="O49" s="11">
        <f t="shared" si="2"/>
        <v>632685708</v>
      </c>
      <c r="P49" s="11">
        <f t="shared" si="2"/>
        <v>1525940708</v>
      </c>
      <c r="Q49" s="11">
        <f t="shared" si="2"/>
        <v>525697589</v>
      </c>
      <c r="R49" s="11">
        <f t="shared" si="2"/>
        <v>8538051591</v>
      </c>
    </row>
    <row r="50" spans="1:18">
      <c r="A50" s="1">
        <v>2</v>
      </c>
      <c r="B50" s="43" t="s">
        <v>108</v>
      </c>
      <c r="D50" s="33"/>
      <c r="E50" s="33"/>
    </row>
    <row r="51" spans="1:18">
      <c r="A51" s="1">
        <v>2.1</v>
      </c>
      <c r="B51" s="6" t="s">
        <v>109</v>
      </c>
      <c r="C51" s="7">
        <v>0</v>
      </c>
      <c r="D51" s="33"/>
      <c r="E51" s="7">
        <f>C51+D51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f>F51+G51+H51+I51+J51+K51+L51+M51+N51+O51+P51+Q51</f>
        <v>0</v>
      </c>
    </row>
    <row r="52" spans="1:18">
      <c r="A52" s="1">
        <v>2.2000000000000002</v>
      </c>
      <c r="B52" s="6" t="s">
        <v>110</v>
      </c>
      <c r="C52" s="64">
        <v>200000000</v>
      </c>
      <c r="D52" s="19">
        <v>1236017406</v>
      </c>
      <c r="E52" s="7">
        <f>C52+D52</f>
        <v>1436017406</v>
      </c>
      <c r="F52" s="7"/>
      <c r="G52" s="7"/>
      <c r="H52" s="7"/>
      <c r="I52" s="7"/>
      <c r="J52" s="7"/>
      <c r="K52" s="7"/>
      <c r="L52" s="7"/>
      <c r="M52" s="19">
        <v>1236017406</v>
      </c>
      <c r="N52" s="19"/>
      <c r="O52" s="19"/>
      <c r="P52" s="19"/>
      <c r="Q52" s="19"/>
      <c r="R52" s="7">
        <f>F52+G52+H52+I52+J52+K52+L52+M52+N52+O52+P52+Q52</f>
        <v>1236017406</v>
      </c>
    </row>
    <row r="53" spans="1:18">
      <c r="A53" s="1">
        <v>22.1</v>
      </c>
      <c r="B53" s="6" t="s">
        <v>111</v>
      </c>
      <c r="C53" s="64">
        <v>2300000000</v>
      </c>
      <c r="D53" s="33"/>
      <c r="E53" s="7">
        <f>C53+D53</f>
        <v>2300000000</v>
      </c>
      <c r="F53" s="7">
        <f>4863491+27527053+3285292+71999+407996+20000000+7357837</f>
        <v>63513668</v>
      </c>
      <c r="G53" s="7">
        <f>77239856+180613</f>
        <v>77420469</v>
      </c>
      <c r="H53" s="7">
        <v>78654924</v>
      </c>
      <c r="I53" s="7">
        <v>29876543</v>
      </c>
      <c r="J53" s="7">
        <v>48638678</v>
      </c>
      <c r="K53" s="7">
        <f>43655216+946480</f>
        <v>44601696</v>
      </c>
      <c r="L53" s="7">
        <f>3583007+20271418+2742939+3215202+18219496+18000000+15000000+874297</f>
        <v>81906359</v>
      </c>
      <c r="M53" s="7">
        <v>71897524</v>
      </c>
      <c r="N53" s="7">
        <f>4699896+26600340+3076361+332193+1882431+35000000+9000000+221873</f>
        <v>80813094</v>
      </c>
      <c r="O53" s="7">
        <f>4326468+24516462+3416684+2945081+16688772</f>
        <v>51893467</v>
      </c>
      <c r="P53" s="7">
        <f>4214528+23851118+1982529+11234291+14568972</f>
        <v>55851438</v>
      </c>
      <c r="Q53" s="7">
        <f>4115921+22814966+194198+1100460</f>
        <v>28225545</v>
      </c>
      <c r="R53" s="7">
        <f>F53+G53+H53+I53+J53+K53+L53+M53+N53+O53+P53+Q53</f>
        <v>713293405</v>
      </c>
    </row>
    <row r="54" spans="1:18">
      <c r="A54" s="1">
        <v>22.2</v>
      </c>
      <c r="B54" s="6" t="s">
        <v>112</v>
      </c>
      <c r="C54" s="44">
        <v>5500000</v>
      </c>
      <c r="D54" s="33"/>
      <c r="E54" s="7">
        <f>C54+D54</f>
        <v>5500000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f>F54+G54+H54+I54+J54+K54+L54+M54+N54+O54+P54+Q54</f>
        <v>0</v>
      </c>
    </row>
    <row r="55" spans="1:18">
      <c r="A55" s="1">
        <v>2.2999999999999998</v>
      </c>
      <c r="B55" s="6" t="s">
        <v>113</v>
      </c>
      <c r="C55" s="64">
        <v>1000000</v>
      </c>
      <c r="D55" s="33"/>
      <c r="E55" s="7">
        <f>C55+D55</f>
        <v>1000000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F55+G55+H55+I55+J55+K55+L55+M55+N55+O55+P55+Q55</f>
        <v>0</v>
      </c>
    </row>
    <row r="56" spans="1:18">
      <c r="A56" s="9"/>
      <c r="B56" s="10" t="s">
        <v>114</v>
      </c>
      <c r="C56" s="11">
        <f>SUM(C51:C55)</f>
        <v>2506500000</v>
      </c>
      <c r="D56" s="11">
        <f t="shared" ref="D56:R56" si="3">SUM(D52:D55)</f>
        <v>1236017406</v>
      </c>
      <c r="E56" s="11">
        <f t="shared" si="3"/>
        <v>3742517406</v>
      </c>
      <c r="F56" s="11">
        <f t="shared" si="3"/>
        <v>63513668</v>
      </c>
      <c r="G56" s="11">
        <f t="shared" si="3"/>
        <v>77420469</v>
      </c>
      <c r="H56" s="11">
        <f t="shared" si="3"/>
        <v>78654924</v>
      </c>
      <c r="I56" s="11">
        <f t="shared" si="3"/>
        <v>29876543</v>
      </c>
      <c r="J56" s="11">
        <f t="shared" si="3"/>
        <v>48638678</v>
      </c>
      <c r="K56" s="11">
        <f t="shared" si="3"/>
        <v>44601696</v>
      </c>
      <c r="L56" s="11">
        <f t="shared" si="3"/>
        <v>81906359</v>
      </c>
      <c r="M56" s="11">
        <f t="shared" si="3"/>
        <v>1307914930</v>
      </c>
      <c r="N56" s="11">
        <f t="shared" si="3"/>
        <v>80813094</v>
      </c>
      <c r="O56" s="11">
        <f t="shared" si="3"/>
        <v>51893467</v>
      </c>
      <c r="P56" s="11">
        <f t="shared" si="3"/>
        <v>55851438</v>
      </c>
      <c r="Q56" s="11">
        <f t="shared" si="3"/>
        <v>28225545</v>
      </c>
      <c r="R56" s="11">
        <f t="shared" si="3"/>
        <v>1949310811</v>
      </c>
    </row>
    <row r="57" spans="1:18" ht="15.75">
      <c r="A57" s="104" t="s">
        <v>251</v>
      </c>
      <c r="B57" s="104"/>
      <c r="C57" s="45">
        <f t="shared" ref="C57:R57" si="4">C49+C56</f>
        <v>8786500000</v>
      </c>
      <c r="D57" s="45">
        <f t="shared" si="4"/>
        <v>1236017406</v>
      </c>
      <c r="E57" s="45">
        <f t="shared" si="4"/>
        <v>10022517406</v>
      </c>
      <c r="F57" s="45">
        <f t="shared" si="4"/>
        <v>835596765</v>
      </c>
      <c r="G57" s="45">
        <f t="shared" si="4"/>
        <v>772098558</v>
      </c>
      <c r="H57" s="45">
        <f t="shared" si="4"/>
        <v>826974616</v>
      </c>
      <c r="I57" s="45">
        <f t="shared" si="4"/>
        <v>553189698</v>
      </c>
      <c r="J57" s="45">
        <f t="shared" si="4"/>
        <v>663248664</v>
      </c>
      <c r="K57" s="45">
        <f t="shared" si="4"/>
        <v>623404428</v>
      </c>
      <c r="L57" s="45">
        <f t="shared" si="4"/>
        <v>896478694</v>
      </c>
      <c r="M57" s="45">
        <f t="shared" si="4"/>
        <v>1828138571</v>
      </c>
      <c r="N57" s="45">
        <f t="shared" si="4"/>
        <v>667937953</v>
      </c>
      <c r="O57" s="45">
        <f t="shared" si="4"/>
        <v>684579175</v>
      </c>
      <c r="P57" s="45">
        <f t="shared" si="4"/>
        <v>1581792146</v>
      </c>
      <c r="Q57" s="45">
        <f t="shared" si="4"/>
        <v>553923134</v>
      </c>
      <c r="R57" s="45">
        <f t="shared" si="4"/>
        <v>10487362402</v>
      </c>
    </row>
  </sheetData>
  <mergeCells count="21"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M3:M4"/>
    <mergeCell ref="N3:N4"/>
    <mergeCell ref="A57:B57"/>
    <mergeCell ref="I3:I4"/>
    <mergeCell ref="J3:J4"/>
    <mergeCell ref="K3:K4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2"/>
  <sheetViews>
    <sheetView workbookViewId="0">
      <selection activeCell="F14" sqref="F14"/>
    </sheetView>
  </sheetViews>
  <sheetFormatPr baseColWidth="10" defaultRowHeight="15"/>
  <cols>
    <col min="2" max="2" width="53.5703125" bestFit="1" customWidth="1"/>
    <col min="3" max="3" width="16.140625" customWidth="1"/>
    <col min="4" max="4" width="13.28515625" customWidth="1"/>
    <col min="5" max="5" width="12.7109375" customWidth="1"/>
    <col min="7" max="7" width="15.5703125" customWidth="1"/>
    <col min="8" max="8" width="16.42578125" customWidth="1"/>
    <col min="9" max="9" width="17.7109375" customWidth="1"/>
    <col min="10" max="10" width="14.42578125" customWidth="1"/>
    <col min="11" max="11" width="16" customWidth="1"/>
    <col min="12" max="12" width="15.85546875" customWidth="1"/>
    <col min="13" max="13" width="15.7109375" customWidth="1"/>
    <col min="14" max="15" width="15.42578125" customWidth="1"/>
    <col min="16" max="16" width="15" customWidth="1"/>
    <col min="17" max="17" width="15.5703125" customWidth="1"/>
    <col min="18" max="18" width="15.140625" customWidth="1"/>
    <col min="19" max="20" width="16.7109375" customWidth="1"/>
  </cols>
  <sheetData>
    <row r="1" spans="1:20" ht="18.75">
      <c r="A1" s="110" t="s">
        <v>252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>
      <c r="A2" s="108" t="s">
        <v>3</v>
      </c>
      <c r="B2" s="108" t="s">
        <v>118</v>
      </c>
      <c r="C2" s="108" t="s">
        <v>253</v>
      </c>
      <c r="D2" s="111" t="s">
        <v>222</v>
      </c>
      <c r="E2" s="111"/>
      <c r="F2" s="108" t="s">
        <v>6</v>
      </c>
      <c r="G2" s="108" t="s">
        <v>254</v>
      </c>
      <c r="H2" s="108" t="s">
        <v>224</v>
      </c>
      <c r="I2" s="108" t="s">
        <v>225</v>
      </c>
      <c r="J2" s="108" t="s">
        <v>226</v>
      </c>
      <c r="K2" s="108" t="s">
        <v>227</v>
      </c>
      <c r="L2" s="108" t="s">
        <v>228</v>
      </c>
      <c r="M2" s="108" t="s">
        <v>229</v>
      </c>
      <c r="N2" s="108" t="s">
        <v>230</v>
      </c>
      <c r="O2" s="108" t="s">
        <v>231</v>
      </c>
      <c r="P2" s="108" t="s">
        <v>232</v>
      </c>
      <c r="Q2" s="108" t="s">
        <v>233</v>
      </c>
      <c r="R2" s="108" t="s">
        <v>234</v>
      </c>
      <c r="S2" s="108" t="s">
        <v>235</v>
      </c>
      <c r="T2" s="108" t="s">
        <v>255</v>
      </c>
    </row>
    <row r="3" spans="1:20">
      <c r="A3" s="109"/>
      <c r="B3" s="109"/>
      <c r="C3" s="109"/>
      <c r="D3" s="46" t="s">
        <v>136</v>
      </c>
      <c r="E3" s="46" t="s">
        <v>237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21" customHeight="1">
      <c r="A4" s="36"/>
      <c r="B4" s="113" t="s">
        <v>135</v>
      </c>
      <c r="C4" s="114"/>
      <c r="D4" s="33"/>
      <c r="E4" s="33"/>
      <c r="F4" s="47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>
      <c r="A5" s="33"/>
      <c r="B5" s="48" t="s">
        <v>138</v>
      </c>
      <c r="C5" s="33"/>
      <c r="D5" s="33"/>
      <c r="E5" s="33"/>
      <c r="F5" s="4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>
      <c r="A6" s="48">
        <v>30501</v>
      </c>
      <c r="B6" s="48" t="s">
        <v>139</v>
      </c>
      <c r="C6" s="50">
        <f t="shared" ref="C6:I6" si="0">SUM(C7:C17)</f>
        <v>3024000000</v>
      </c>
      <c r="D6" s="50">
        <f t="shared" si="0"/>
        <v>10000000</v>
      </c>
      <c r="E6" s="50">
        <f t="shared" si="0"/>
        <v>184000000</v>
      </c>
      <c r="F6" s="50">
        <f t="shared" si="0"/>
        <v>0</v>
      </c>
      <c r="G6" s="50">
        <f t="shared" si="0"/>
        <v>2850000000</v>
      </c>
      <c r="H6" s="50">
        <f t="shared" si="0"/>
        <v>183843106</v>
      </c>
      <c r="I6" s="50">
        <f t="shared" si="0"/>
        <v>176244285</v>
      </c>
      <c r="J6" s="50">
        <f t="shared" ref="J6:T6" si="1">SUM(J7:J17)</f>
        <v>186360371</v>
      </c>
      <c r="K6" s="50">
        <f t="shared" si="1"/>
        <v>181451129</v>
      </c>
      <c r="L6" s="50">
        <f t="shared" si="1"/>
        <v>181742235</v>
      </c>
      <c r="M6" s="50">
        <f t="shared" si="1"/>
        <v>194073763</v>
      </c>
      <c r="N6" s="50">
        <f t="shared" si="1"/>
        <v>264097135</v>
      </c>
      <c r="O6" s="50">
        <f t="shared" si="1"/>
        <v>203075598</v>
      </c>
      <c r="P6" s="50">
        <f t="shared" si="1"/>
        <v>190186056</v>
      </c>
      <c r="Q6" s="50">
        <f t="shared" si="1"/>
        <v>209513418</v>
      </c>
      <c r="R6" s="50">
        <f t="shared" si="1"/>
        <v>191260263</v>
      </c>
      <c r="S6" s="50">
        <f t="shared" si="1"/>
        <v>395247215</v>
      </c>
      <c r="T6" s="50">
        <f t="shared" si="1"/>
        <v>2557094574</v>
      </c>
    </row>
    <row r="7" spans="1:20">
      <c r="A7" s="1">
        <v>30501180401</v>
      </c>
      <c r="B7" s="1" t="s">
        <v>140</v>
      </c>
      <c r="C7" s="52">
        <v>2250000000</v>
      </c>
      <c r="D7" s="51"/>
      <c r="E7" s="51">
        <v>155000000</v>
      </c>
      <c r="F7" s="47"/>
      <c r="G7" s="52">
        <f>C7+D7-E7+F7</f>
        <v>2095000000</v>
      </c>
      <c r="H7" s="52">
        <v>155955168</v>
      </c>
      <c r="I7" s="52">
        <v>155358770</v>
      </c>
      <c r="J7" s="52">
        <v>156903995</v>
      </c>
      <c r="K7" s="52">
        <v>153349271</v>
      </c>
      <c r="L7" s="52">
        <v>153243597</v>
      </c>
      <c r="M7" s="52">
        <v>161483341</v>
      </c>
      <c r="N7" s="52">
        <v>159861859</v>
      </c>
      <c r="O7" s="52">
        <v>159744414</v>
      </c>
      <c r="P7" s="19">
        <v>159877836</v>
      </c>
      <c r="Q7" s="52">
        <f>20608480+144746320+95102</f>
        <v>165449902</v>
      </c>
      <c r="R7" s="52">
        <f>12127382+148988500+60231</f>
        <v>161176113</v>
      </c>
      <c r="S7" s="52">
        <f>161942911+1488702</f>
        <v>163431613</v>
      </c>
      <c r="T7" s="52">
        <f t="shared" ref="T7:T13" si="2">H7+I7+J7+K7+L7+M7+N7+O7+P7+Q7+R7+S7</f>
        <v>1905835879</v>
      </c>
    </row>
    <row r="8" spans="1:20">
      <c r="A8" s="1">
        <v>30501180402</v>
      </c>
      <c r="B8" s="1" t="s">
        <v>141</v>
      </c>
      <c r="C8" s="52">
        <v>200000000</v>
      </c>
      <c r="D8" s="51"/>
      <c r="E8" s="51"/>
      <c r="F8" s="47"/>
      <c r="G8" s="52">
        <f t="shared" ref="G8:G29" si="3">C8+D8-E8+F8</f>
        <v>200000000</v>
      </c>
      <c r="H8" s="52"/>
      <c r="I8" s="52"/>
      <c r="J8" s="52"/>
      <c r="K8" s="52">
        <v>0</v>
      </c>
      <c r="L8" s="52">
        <v>0</v>
      </c>
      <c r="M8" s="52">
        <v>0</v>
      </c>
      <c r="N8" s="52"/>
      <c r="O8" s="52"/>
      <c r="P8" s="19"/>
      <c r="Q8" s="52">
        <v>7435007</v>
      </c>
      <c r="R8" s="52"/>
      <c r="S8" s="52">
        <v>192411273</v>
      </c>
      <c r="T8" s="52">
        <f t="shared" si="2"/>
        <v>199846280</v>
      </c>
    </row>
    <row r="9" spans="1:20">
      <c r="A9" s="1">
        <v>30501180403</v>
      </c>
      <c r="B9" s="1" t="s">
        <v>142</v>
      </c>
      <c r="C9" s="52">
        <v>105000000</v>
      </c>
      <c r="D9" s="51"/>
      <c r="E9" s="51"/>
      <c r="F9" s="47"/>
      <c r="G9" s="52">
        <f t="shared" si="3"/>
        <v>105000000</v>
      </c>
      <c r="H9" s="52">
        <v>6108674</v>
      </c>
      <c r="I9" s="52">
        <v>4743128</v>
      </c>
      <c r="J9" s="52">
        <v>5748550</v>
      </c>
      <c r="K9" s="52">
        <v>4890610</v>
      </c>
      <c r="L9" s="52">
        <v>4812114</v>
      </c>
      <c r="M9" s="52">
        <v>5092899</v>
      </c>
      <c r="N9" s="52">
        <v>6464034</v>
      </c>
      <c r="O9" s="52">
        <v>10246414</v>
      </c>
      <c r="P9" s="19">
        <v>10999845</v>
      </c>
      <c r="Q9" s="52">
        <v>11623407</v>
      </c>
      <c r="R9" s="52">
        <v>6512498</v>
      </c>
      <c r="S9" s="52">
        <f>6759553+1000685</f>
        <v>7760238</v>
      </c>
      <c r="T9" s="52">
        <f t="shared" si="2"/>
        <v>85002411</v>
      </c>
    </row>
    <row r="10" spans="1:20">
      <c r="A10" s="1">
        <v>30501180404</v>
      </c>
      <c r="B10" s="1" t="s">
        <v>143</v>
      </c>
      <c r="C10" s="52">
        <v>15000000</v>
      </c>
      <c r="D10" s="51"/>
      <c r="E10" s="51"/>
      <c r="F10" s="47"/>
      <c r="G10" s="52">
        <f t="shared" si="3"/>
        <v>15000000</v>
      </c>
      <c r="H10" s="52"/>
      <c r="I10" s="52"/>
      <c r="J10" s="52"/>
      <c r="K10" s="52">
        <v>1528576</v>
      </c>
      <c r="L10" s="52">
        <v>0</v>
      </c>
      <c r="M10" s="52">
        <v>0</v>
      </c>
      <c r="N10" s="52"/>
      <c r="O10" s="52"/>
      <c r="P10" s="19"/>
      <c r="Q10" s="52"/>
      <c r="R10" s="52"/>
      <c r="S10" s="52">
        <v>1258617</v>
      </c>
      <c r="T10" s="52">
        <f t="shared" si="2"/>
        <v>2787193</v>
      </c>
    </row>
    <row r="11" spans="1:20">
      <c r="A11" s="1">
        <v>30501180405</v>
      </c>
      <c r="B11" s="1" t="s">
        <v>144</v>
      </c>
      <c r="C11" s="52">
        <v>6000000</v>
      </c>
      <c r="D11" s="51"/>
      <c r="E11" s="51"/>
      <c r="F11" s="47"/>
      <c r="G11" s="52">
        <f t="shared" si="3"/>
        <v>6000000</v>
      </c>
      <c r="H11" s="52">
        <v>144000</v>
      </c>
      <c r="I11" s="52">
        <v>144000</v>
      </c>
      <c r="J11" s="52">
        <v>158400</v>
      </c>
      <c r="K11" s="52">
        <v>144000</v>
      </c>
      <c r="L11" s="52">
        <v>144000</v>
      </c>
      <c r="M11" s="52">
        <v>144000</v>
      </c>
      <c r="N11" s="52">
        <v>144000</v>
      </c>
      <c r="O11" s="52">
        <v>105600</v>
      </c>
      <c r="P11" s="19">
        <v>122400</v>
      </c>
      <c r="Q11" s="52">
        <v>144000</v>
      </c>
      <c r="R11" s="52">
        <v>91200</v>
      </c>
      <c r="S11" s="52">
        <v>144000</v>
      </c>
      <c r="T11" s="52">
        <f t="shared" si="2"/>
        <v>1629600</v>
      </c>
    </row>
    <row r="12" spans="1:20">
      <c r="A12" s="1">
        <v>30501180406</v>
      </c>
      <c r="B12" s="1" t="s">
        <v>145</v>
      </c>
      <c r="C12" s="52">
        <v>12000000</v>
      </c>
      <c r="D12" s="51">
        <v>10000000</v>
      </c>
      <c r="E12" s="51"/>
      <c r="F12" s="47"/>
      <c r="G12" s="52">
        <f t="shared" si="3"/>
        <v>22000000</v>
      </c>
      <c r="H12" s="52"/>
      <c r="I12" s="52"/>
      <c r="J12" s="52">
        <v>5628769</v>
      </c>
      <c r="K12" s="52">
        <v>0</v>
      </c>
      <c r="L12" s="52">
        <v>0</v>
      </c>
      <c r="M12" s="52">
        <v>0</v>
      </c>
      <c r="N12" s="52"/>
      <c r="O12" s="52"/>
      <c r="P12" s="19"/>
      <c r="Q12" s="52"/>
      <c r="R12" s="52"/>
      <c r="S12" s="52">
        <v>5699660</v>
      </c>
      <c r="T12" s="52">
        <f t="shared" si="2"/>
        <v>11328429</v>
      </c>
    </row>
    <row r="13" spans="1:20">
      <c r="A13" s="1">
        <v>30501180407</v>
      </c>
      <c r="B13" s="1" t="s">
        <v>146</v>
      </c>
      <c r="C13" s="52">
        <v>1000000</v>
      </c>
      <c r="D13" s="51"/>
      <c r="E13" s="51"/>
      <c r="F13" s="47"/>
      <c r="G13" s="52">
        <f t="shared" si="3"/>
        <v>1000000</v>
      </c>
      <c r="H13" s="52"/>
      <c r="I13" s="52"/>
      <c r="J13" s="52"/>
      <c r="K13" s="52">
        <v>0</v>
      </c>
      <c r="L13" s="52">
        <v>0</v>
      </c>
      <c r="M13" s="52">
        <v>0</v>
      </c>
      <c r="N13" s="52"/>
      <c r="O13" s="52"/>
      <c r="P13" s="19"/>
      <c r="Q13" s="52"/>
      <c r="R13" s="52"/>
      <c r="S13" s="52"/>
      <c r="T13" s="52">
        <f t="shared" si="2"/>
        <v>0</v>
      </c>
    </row>
    <row r="14" spans="1:20">
      <c r="A14" s="1">
        <v>30501180408</v>
      </c>
      <c r="B14" s="1" t="s">
        <v>147</v>
      </c>
      <c r="C14" s="52">
        <v>250000000</v>
      </c>
      <c r="D14" s="51"/>
      <c r="E14" s="51"/>
      <c r="F14" s="47"/>
      <c r="G14" s="52">
        <f t="shared" si="3"/>
        <v>250000000</v>
      </c>
      <c r="H14" s="52">
        <v>17657820</v>
      </c>
      <c r="I14" s="52">
        <v>13591646</v>
      </c>
      <c r="J14" s="52">
        <v>13488575</v>
      </c>
      <c r="K14" s="52">
        <v>17138060</v>
      </c>
      <c r="L14" s="52">
        <v>18791361</v>
      </c>
      <c r="M14" s="52">
        <v>22497672</v>
      </c>
      <c r="N14" s="52">
        <v>14431005</v>
      </c>
      <c r="O14" s="52">
        <f>19832646+574256</f>
        <v>20406902</v>
      </c>
      <c r="P14" s="19">
        <v>13885449</v>
      </c>
      <c r="Q14" s="52">
        <f>497200+17573216</f>
        <v>18070416</v>
      </c>
      <c r="R14" s="52">
        <v>20758142</v>
      </c>
      <c r="S14" s="52">
        <v>18814159</v>
      </c>
      <c r="T14" s="52">
        <f>H14+I14+J14+K14+L14+M14+N14+O14+P14+Q14+R14+S14</f>
        <v>209531207</v>
      </c>
    </row>
    <row r="15" spans="1:20">
      <c r="A15" s="1">
        <v>30501180409</v>
      </c>
      <c r="B15" s="1" t="s">
        <v>148</v>
      </c>
      <c r="C15" s="52">
        <v>90000000</v>
      </c>
      <c r="D15" s="51"/>
      <c r="E15" s="51">
        <v>9000000</v>
      </c>
      <c r="F15" s="47"/>
      <c r="G15" s="52">
        <f t="shared" si="3"/>
        <v>81000000</v>
      </c>
      <c r="H15" s="52"/>
      <c r="I15" s="52"/>
      <c r="J15" s="52"/>
      <c r="K15" s="52"/>
      <c r="L15" s="52"/>
      <c r="M15" s="52"/>
      <c r="N15" s="52">
        <v>80493955</v>
      </c>
      <c r="O15" s="52"/>
      <c r="P15" s="19"/>
      <c r="Q15" s="52"/>
      <c r="R15" s="52"/>
      <c r="S15" s="52"/>
      <c r="T15" s="52">
        <f t="shared" ref="T15:T20" si="4">H15+I15+J15+K15+L15+M15+N15+O15+P15+Q15+R15+S15</f>
        <v>80493955</v>
      </c>
    </row>
    <row r="16" spans="1:20">
      <c r="A16" s="1">
        <v>30501180410</v>
      </c>
      <c r="B16" s="1" t="s">
        <v>238</v>
      </c>
      <c r="C16" s="52">
        <v>80000000</v>
      </c>
      <c r="D16" s="51"/>
      <c r="E16" s="51">
        <f>10000000+10000000</f>
        <v>20000000</v>
      </c>
      <c r="F16" s="47"/>
      <c r="G16" s="52">
        <f t="shared" si="3"/>
        <v>60000000</v>
      </c>
      <c r="H16" s="52">
        <v>3217694</v>
      </c>
      <c r="I16" s="52">
        <v>1923795</v>
      </c>
      <c r="J16" s="52">
        <v>3749100</v>
      </c>
      <c r="K16" s="52">
        <v>3792491</v>
      </c>
      <c r="L16" s="52">
        <v>4150087</v>
      </c>
      <c r="M16" s="52">
        <v>4221479</v>
      </c>
      <c r="N16" s="52">
        <v>1898192</v>
      </c>
      <c r="O16" s="52">
        <v>11304320</v>
      </c>
      <c r="P16" s="19">
        <v>3957244</v>
      </c>
      <c r="Q16" s="52">
        <f>1890706+3984489</f>
        <v>5875195</v>
      </c>
      <c r="R16" s="52">
        <f>1012888+881032</f>
        <v>1893920</v>
      </c>
      <c r="S16" s="52">
        <v>5046715</v>
      </c>
      <c r="T16" s="52">
        <f t="shared" si="4"/>
        <v>51030232</v>
      </c>
    </row>
    <row r="17" spans="1:20">
      <c r="A17" s="1">
        <v>30501180411</v>
      </c>
      <c r="B17" s="1" t="s">
        <v>239</v>
      </c>
      <c r="C17" s="52">
        <v>15000000</v>
      </c>
      <c r="D17" s="51"/>
      <c r="E17" s="51"/>
      <c r="F17" s="47"/>
      <c r="G17" s="52">
        <f t="shared" si="3"/>
        <v>15000000</v>
      </c>
      <c r="H17" s="52">
        <v>759750</v>
      </c>
      <c r="I17" s="52">
        <v>482946</v>
      </c>
      <c r="J17" s="52">
        <v>682982</v>
      </c>
      <c r="K17" s="52">
        <v>608121</v>
      </c>
      <c r="L17" s="52">
        <v>601076</v>
      </c>
      <c r="M17" s="52">
        <v>634372</v>
      </c>
      <c r="N17" s="52">
        <v>804090</v>
      </c>
      <c r="O17" s="52">
        <v>1267948</v>
      </c>
      <c r="P17" s="19">
        <v>1343282</v>
      </c>
      <c r="Q17" s="52">
        <v>915491</v>
      </c>
      <c r="R17" s="52">
        <v>828390</v>
      </c>
      <c r="S17" s="52">
        <v>680940</v>
      </c>
      <c r="T17" s="52">
        <f t="shared" si="4"/>
        <v>9609388</v>
      </c>
    </row>
    <row r="18" spans="1:20">
      <c r="A18" s="33"/>
      <c r="B18" s="48" t="s">
        <v>150</v>
      </c>
      <c r="C18" s="50">
        <f>SUM(C19:C21)</f>
        <v>871000000</v>
      </c>
      <c r="D18" s="50">
        <f>SUM(D19:D21)</f>
        <v>254000000</v>
      </c>
      <c r="E18" s="50">
        <f>SUM(E19:E21)</f>
        <v>170000000</v>
      </c>
      <c r="F18" s="50">
        <f t="shared" ref="F18:T18" si="5">SUM(F19:F21)</f>
        <v>0</v>
      </c>
      <c r="G18" s="50">
        <f t="shared" si="5"/>
        <v>955000000</v>
      </c>
      <c r="H18" s="50">
        <f t="shared" si="5"/>
        <v>306000000</v>
      </c>
      <c r="I18" s="50">
        <f t="shared" si="5"/>
        <v>74000000</v>
      </c>
      <c r="J18" s="50">
        <f t="shared" si="5"/>
        <v>0</v>
      </c>
      <c r="K18" s="50">
        <f t="shared" si="5"/>
        <v>0</v>
      </c>
      <c r="L18" s="50">
        <f t="shared" si="5"/>
        <v>0</v>
      </c>
      <c r="M18" s="50">
        <f t="shared" si="5"/>
        <v>34877806</v>
      </c>
      <c r="N18" s="50">
        <f t="shared" si="5"/>
        <v>208929062</v>
      </c>
      <c r="O18" s="50">
        <f t="shared" si="5"/>
        <v>87639884</v>
      </c>
      <c r="P18" s="50">
        <f t="shared" si="5"/>
        <v>9087082</v>
      </c>
      <c r="Q18" s="50">
        <f t="shared" si="5"/>
        <v>97412596</v>
      </c>
      <c r="R18" s="50">
        <f t="shared" si="5"/>
        <v>84030760</v>
      </c>
      <c r="S18" s="50">
        <f t="shared" si="5"/>
        <v>19326336</v>
      </c>
      <c r="T18" s="50">
        <f t="shared" si="5"/>
        <v>921303526</v>
      </c>
    </row>
    <row r="19" spans="1:20">
      <c r="A19" s="1">
        <v>30501180413</v>
      </c>
      <c r="B19" s="1" t="s">
        <v>151</v>
      </c>
      <c r="C19" s="52">
        <v>400000000</v>
      </c>
      <c r="D19" s="51">
        <f>170000000+34000000</f>
        <v>204000000</v>
      </c>
      <c r="E19" s="51"/>
      <c r="F19" s="47"/>
      <c r="G19" s="52">
        <f t="shared" si="3"/>
        <v>604000000</v>
      </c>
      <c r="H19" s="52">
        <v>306000000</v>
      </c>
      <c r="I19" s="52">
        <v>74000000</v>
      </c>
      <c r="J19" s="52"/>
      <c r="K19" s="52"/>
      <c r="L19" s="52"/>
      <c r="M19" s="52"/>
      <c r="N19" s="52">
        <v>147323333</v>
      </c>
      <c r="O19" s="52">
        <v>7700000</v>
      </c>
      <c r="P19" s="19"/>
      <c r="Q19" s="52">
        <v>23450000</v>
      </c>
      <c r="R19" s="52">
        <v>4900000</v>
      </c>
      <c r="S19" s="52">
        <v>7972423</v>
      </c>
      <c r="T19" s="52">
        <f t="shared" si="4"/>
        <v>571345756</v>
      </c>
    </row>
    <row r="20" spans="1:20">
      <c r="A20" s="1">
        <v>30501180414</v>
      </c>
      <c r="B20" s="66" t="s">
        <v>152</v>
      </c>
      <c r="C20" s="52">
        <v>470000000</v>
      </c>
      <c r="D20" s="51">
        <v>50000000</v>
      </c>
      <c r="E20" s="51">
        <v>170000000</v>
      </c>
      <c r="F20" s="47"/>
      <c r="G20" s="52">
        <f t="shared" si="3"/>
        <v>350000000</v>
      </c>
      <c r="H20" s="52"/>
      <c r="I20" s="52"/>
      <c r="J20" s="52"/>
      <c r="K20" s="52"/>
      <c r="L20" s="52"/>
      <c r="M20" s="52">
        <v>34877806</v>
      </c>
      <c r="N20" s="52">
        <v>61605729</v>
      </c>
      <c r="O20" s="52">
        <v>79939884</v>
      </c>
      <c r="P20" s="19">
        <v>9087082</v>
      </c>
      <c r="Q20" s="52">
        <v>73962596</v>
      </c>
      <c r="R20" s="52">
        <v>79130760</v>
      </c>
      <c r="S20" s="52">
        <f>7753913+3600000</f>
        <v>11353913</v>
      </c>
      <c r="T20" s="52">
        <f t="shared" si="4"/>
        <v>349957770</v>
      </c>
    </row>
    <row r="21" spans="1:20">
      <c r="A21" s="1">
        <v>30501180415</v>
      </c>
      <c r="B21" s="1" t="s">
        <v>153</v>
      </c>
      <c r="C21" s="52">
        <v>1000000</v>
      </c>
      <c r="D21" s="51"/>
      <c r="E21" s="51"/>
      <c r="F21" s="47"/>
      <c r="G21" s="52">
        <f t="shared" si="3"/>
        <v>1000000</v>
      </c>
      <c r="H21" s="52"/>
      <c r="I21" s="52"/>
      <c r="J21" s="52"/>
      <c r="K21" s="52"/>
      <c r="L21" s="52"/>
      <c r="M21" s="52"/>
      <c r="N21" s="52"/>
      <c r="O21" s="52"/>
      <c r="P21" s="19"/>
      <c r="Q21" s="52"/>
      <c r="R21" s="52"/>
      <c r="S21" s="52"/>
      <c r="T21" s="52"/>
    </row>
    <row r="22" spans="1:20">
      <c r="A22" s="33"/>
      <c r="B22" s="48" t="s">
        <v>154</v>
      </c>
      <c r="C22" s="50">
        <f>SUM(C23)</f>
        <v>100000000</v>
      </c>
      <c r="D22" s="50">
        <f>SUM(D23)</f>
        <v>0</v>
      </c>
      <c r="E22" s="50">
        <f>SUM(E23)</f>
        <v>0</v>
      </c>
      <c r="F22" s="50">
        <f t="shared" ref="F22:T22" si="6">SUM(F23)</f>
        <v>0</v>
      </c>
      <c r="G22" s="50">
        <f t="shared" si="6"/>
        <v>100000000</v>
      </c>
      <c r="H22" s="50">
        <f t="shared" si="6"/>
        <v>9153000</v>
      </c>
      <c r="I22" s="50">
        <f t="shared" si="6"/>
        <v>7022300</v>
      </c>
      <c r="J22" s="50">
        <f t="shared" si="6"/>
        <v>6854200</v>
      </c>
      <c r="K22" s="50">
        <f t="shared" si="6"/>
        <v>7069300</v>
      </c>
      <c r="L22" s="50">
        <f t="shared" si="6"/>
        <v>6931600</v>
      </c>
      <c r="M22" s="50">
        <f t="shared" si="6"/>
        <v>7705100</v>
      </c>
      <c r="N22" s="50">
        <f t="shared" si="6"/>
        <v>7785600</v>
      </c>
      <c r="O22" s="50">
        <f t="shared" si="6"/>
        <v>7939700</v>
      </c>
      <c r="P22" s="50">
        <f t="shared" si="6"/>
        <v>9495600</v>
      </c>
      <c r="Q22" s="50">
        <f t="shared" si="6"/>
        <v>9599200</v>
      </c>
      <c r="R22" s="50">
        <f t="shared" si="6"/>
        <v>9700400</v>
      </c>
      <c r="S22" s="50">
        <f t="shared" si="6"/>
        <v>10478600</v>
      </c>
      <c r="T22" s="50">
        <f t="shared" si="6"/>
        <v>99734600</v>
      </c>
    </row>
    <row r="23" spans="1:20">
      <c r="A23" s="1">
        <v>30501180416</v>
      </c>
      <c r="B23" s="66" t="s">
        <v>155</v>
      </c>
      <c r="C23" s="52">
        <v>100000000</v>
      </c>
      <c r="D23" s="51"/>
      <c r="E23" s="51"/>
      <c r="F23" s="47"/>
      <c r="G23" s="52">
        <f t="shared" si="3"/>
        <v>100000000</v>
      </c>
      <c r="H23" s="52">
        <v>9153000</v>
      </c>
      <c r="I23" s="52">
        <v>7022300</v>
      </c>
      <c r="J23" s="52">
        <v>6854200</v>
      </c>
      <c r="K23" s="52">
        <v>7069300</v>
      </c>
      <c r="L23" s="52">
        <v>6931600</v>
      </c>
      <c r="M23" s="52">
        <v>7705100</v>
      </c>
      <c r="N23" s="52">
        <v>7785600</v>
      </c>
      <c r="O23" s="52">
        <v>7939700</v>
      </c>
      <c r="P23" s="19">
        <v>9495600</v>
      </c>
      <c r="Q23" s="52">
        <v>9599200</v>
      </c>
      <c r="R23" s="52">
        <v>9700400</v>
      </c>
      <c r="S23" s="52">
        <v>10478600</v>
      </c>
      <c r="T23" s="52">
        <f t="shared" ref="T23:T29" si="7">H23+I23+J23+K23+L23+M23+N23+O23+P23+Q23+R23+S23</f>
        <v>99734600</v>
      </c>
    </row>
    <row r="24" spans="1:20">
      <c r="A24" s="33"/>
      <c r="B24" s="48" t="s">
        <v>154</v>
      </c>
      <c r="C24" s="50">
        <f t="shared" ref="C24:T24" si="8">SUM(C25:C29)</f>
        <v>777000000</v>
      </c>
      <c r="D24" s="50">
        <f t="shared" si="8"/>
        <v>0</v>
      </c>
      <c r="E24" s="50">
        <f t="shared" si="8"/>
        <v>0</v>
      </c>
      <c r="F24" s="50">
        <f t="shared" si="8"/>
        <v>0</v>
      </c>
      <c r="G24" s="50">
        <f t="shared" si="8"/>
        <v>777000000</v>
      </c>
      <c r="H24" s="50">
        <f t="shared" si="8"/>
        <v>58799064</v>
      </c>
      <c r="I24" s="50">
        <f t="shared" si="8"/>
        <v>47683374</v>
      </c>
      <c r="J24" s="50">
        <f t="shared" si="8"/>
        <v>47105545</v>
      </c>
      <c r="K24" s="50">
        <f t="shared" si="8"/>
        <v>49246000</v>
      </c>
      <c r="L24" s="50">
        <f t="shared" si="8"/>
        <v>47793338</v>
      </c>
      <c r="M24" s="50">
        <f t="shared" si="8"/>
        <v>53366509</v>
      </c>
      <c r="N24" s="50">
        <f>SUM(N25:N29)</f>
        <v>53255791</v>
      </c>
      <c r="O24" s="50">
        <f t="shared" si="8"/>
        <v>62494682</v>
      </c>
      <c r="P24" s="50">
        <f t="shared" si="8"/>
        <v>66054145</v>
      </c>
      <c r="Q24" s="50">
        <f t="shared" si="8"/>
        <v>67832942</v>
      </c>
      <c r="R24" s="50">
        <f t="shared" si="8"/>
        <v>69406526</v>
      </c>
      <c r="S24" s="50">
        <f t="shared" si="8"/>
        <v>72761657</v>
      </c>
      <c r="T24" s="50">
        <f t="shared" si="8"/>
        <v>695799573</v>
      </c>
    </row>
    <row r="25" spans="1:20">
      <c r="A25" s="1">
        <v>30501180417</v>
      </c>
      <c r="B25" s="66" t="s">
        <v>156</v>
      </c>
      <c r="C25" s="52">
        <v>82000000</v>
      </c>
      <c r="D25" s="51"/>
      <c r="E25" s="51"/>
      <c r="F25" s="47"/>
      <c r="G25" s="52">
        <f t="shared" si="3"/>
        <v>82000000</v>
      </c>
      <c r="H25" s="52">
        <v>6864100</v>
      </c>
      <c r="I25" s="52">
        <v>5266300</v>
      </c>
      <c r="J25" s="52">
        <v>5140200</v>
      </c>
      <c r="K25" s="52">
        <v>5301600</v>
      </c>
      <c r="L25" s="52">
        <v>5197800</v>
      </c>
      <c r="M25" s="52">
        <v>5778500</v>
      </c>
      <c r="N25" s="52">
        <v>5838800</v>
      </c>
      <c r="O25" s="52">
        <v>5955000</v>
      </c>
      <c r="P25" s="19">
        <v>7121300</v>
      </c>
      <c r="Q25" s="52">
        <v>7200000</v>
      </c>
      <c r="R25" s="52">
        <v>7275800</v>
      </c>
      <c r="S25" s="52">
        <v>7859200</v>
      </c>
      <c r="T25" s="52">
        <f t="shared" si="7"/>
        <v>74798600</v>
      </c>
    </row>
    <row r="26" spans="1:20">
      <c r="A26" s="1">
        <v>30501180418</v>
      </c>
      <c r="B26" s="66" t="s">
        <v>157</v>
      </c>
      <c r="C26" s="52">
        <v>30000000</v>
      </c>
      <c r="D26" s="51"/>
      <c r="E26" s="51"/>
      <c r="F26" s="47"/>
      <c r="G26" s="52">
        <f t="shared" si="3"/>
        <v>30000000</v>
      </c>
      <c r="H26" s="52">
        <v>1142500</v>
      </c>
      <c r="I26" s="52">
        <v>876300</v>
      </c>
      <c r="J26" s="52">
        <v>855700</v>
      </c>
      <c r="K26" s="52">
        <v>882200</v>
      </c>
      <c r="L26" s="52">
        <v>864900</v>
      </c>
      <c r="M26" s="52">
        <v>962600</v>
      </c>
      <c r="N26" s="52">
        <v>972600</v>
      </c>
      <c r="O26" s="52">
        <v>992400</v>
      </c>
      <c r="P26" s="19">
        <v>1185900</v>
      </c>
      <c r="Q26" s="52">
        <v>1798300</v>
      </c>
      <c r="R26" s="52">
        <v>1849000</v>
      </c>
      <c r="S26" s="52">
        <v>2025487</v>
      </c>
      <c r="T26" s="52">
        <f t="shared" si="7"/>
        <v>14407887</v>
      </c>
    </row>
    <row r="27" spans="1:20">
      <c r="A27" s="1">
        <v>30501180419</v>
      </c>
      <c r="B27" s="66" t="s">
        <v>158</v>
      </c>
      <c r="C27" s="52">
        <v>30000000</v>
      </c>
      <c r="D27" s="51"/>
      <c r="E27" s="51"/>
      <c r="F27" s="47"/>
      <c r="G27" s="52">
        <f t="shared" si="3"/>
        <v>30000000</v>
      </c>
      <c r="H27" s="52">
        <v>1142500</v>
      </c>
      <c r="I27" s="52">
        <v>876300</v>
      </c>
      <c r="J27" s="52">
        <v>855700</v>
      </c>
      <c r="K27" s="52">
        <v>882200</v>
      </c>
      <c r="L27" s="52">
        <v>864900</v>
      </c>
      <c r="M27" s="52">
        <v>962600</v>
      </c>
      <c r="N27" s="52">
        <v>972600</v>
      </c>
      <c r="O27" s="52">
        <v>992400</v>
      </c>
      <c r="P27" s="19">
        <v>1185900</v>
      </c>
      <c r="Q27" s="52">
        <v>1798300</v>
      </c>
      <c r="R27" s="52">
        <v>1849000</v>
      </c>
      <c r="S27" s="52">
        <v>2025487</v>
      </c>
      <c r="T27" s="52">
        <f t="shared" si="7"/>
        <v>14407887</v>
      </c>
    </row>
    <row r="28" spans="1:20">
      <c r="A28" s="1">
        <v>30501180420</v>
      </c>
      <c r="B28" s="66" t="s">
        <v>159</v>
      </c>
      <c r="C28" s="52">
        <v>35000000</v>
      </c>
      <c r="D28" s="51"/>
      <c r="E28" s="51"/>
      <c r="F28" s="47"/>
      <c r="G28" s="52">
        <f t="shared" si="3"/>
        <v>35000000</v>
      </c>
      <c r="H28" s="52">
        <v>2289000</v>
      </c>
      <c r="I28" s="52">
        <v>1756200</v>
      </c>
      <c r="J28" s="52">
        <v>1713900</v>
      </c>
      <c r="K28" s="52">
        <v>1767900</v>
      </c>
      <c r="L28" s="52">
        <v>1733300</v>
      </c>
      <c r="M28" s="52">
        <v>1926500</v>
      </c>
      <c r="N28" s="67">
        <v>1946600</v>
      </c>
      <c r="O28" s="52">
        <v>1985000</v>
      </c>
      <c r="P28" s="19">
        <v>2373700</v>
      </c>
      <c r="Q28" s="52">
        <f>Q27*2</f>
        <v>3596600</v>
      </c>
      <c r="R28" s="52">
        <f>R27*2</f>
        <v>3698000</v>
      </c>
      <c r="S28" s="52">
        <f>S27*2</f>
        <v>4050974</v>
      </c>
      <c r="T28" s="52">
        <f t="shared" si="7"/>
        <v>28837674</v>
      </c>
    </row>
    <row r="29" spans="1:20">
      <c r="A29" s="1">
        <v>30501180421</v>
      </c>
      <c r="B29" s="66" t="s">
        <v>160</v>
      </c>
      <c r="C29" s="52">
        <v>600000000</v>
      </c>
      <c r="D29" s="51"/>
      <c r="E29" s="51"/>
      <c r="F29" s="47"/>
      <c r="G29" s="52">
        <f t="shared" si="3"/>
        <v>600000000</v>
      </c>
      <c r="H29" s="52">
        <v>47360964</v>
      </c>
      <c r="I29" s="52">
        <v>38908274</v>
      </c>
      <c r="J29" s="52">
        <v>38540045</v>
      </c>
      <c r="K29" s="52">
        <v>40412100</v>
      </c>
      <c r="L29" s="52">
        <v>39132438</v>
      </c>
      <c r="M29" s="52">
        <v>43736309</v>
      </c>
      <c r="N29" s="52">
        <v>43525191</v>
      </c>
      <c r="O29" s="52">
        <v>52569882</v>
      </c>
      <c r="P29" s="19">
        <v>54187345</v>
      </c>
      <c r="Q29" s="52">
        <v>53439742</v>
      </c>
      <c r="R29" s="52">
        <v>54734726</v>
      </c>
      <c r="S29" s="52">
        <v>56800509</v>
      </c>
      <c r="T29" s="52">
        <f t="shared" si="7"/>
        <v>563347525</v>
      </c>
    </row>
    <row r="30" spans="1:20">
      <c r="A30" s="48">
        <v>30502</v>
      </c>
      <c r="B30" s="48" t="s">
        <v>161</v>
      </c>
      <c r="F30" s="55"/>
      <c r="P30" s="33"/>
      <c r="Q30" s="68"/>
      <c r="R30" s="68"/>
      <c r="S30" s="68"/>
    </row>
    <row r="31" spans="1:20">
      <c r="A31" s="48"/>
      <c r="B31" s="48" t="s">
        <v>162</v>
      </c>
      <c r="C31" s="50">
        <f t="shared" ref="C31:T31" si="9">SUM(C32:C36)</f>
        <v>428000000</v>
      </c>
      <c r="D31" s="50">
        <f t="shared" si="9"/>
        <v>13000000</v>
      </c>
      <c r="E31" s="50">
        <f t="shared" si="9"/>
        <v>0</v>
      </c>
      <c r="F31" s="50">
        <f t="shared" si="9"/>
        <v>0</v>
      </c>
      <c r="G31" s="50">
        <f t="shared" si="9"/>
        <v>441000000</v>
      </c>
      <c r="H31" s="50">
        <f t="shared" si="9"/>
        <v>7392000</v>
      </c>
      <c r="I31" s="50">
        <f t="shared" si="9"/>
        <v>90000000</v>
      </c>
      <c r="J31" s="50">
        <f t="shared" si="9"/>
        <v>52825867</v>
      </c>
      <c r="K31" s="50">
        <f t="shared" si="9"/>
        <v>0</v>
      </c>
      <c r="L31" s="50">
        <f t="shared" si="9"/>
        <v>0</v>
      </c>
      <c r="M31" s="50">
        <f t="shared" si="9"/>
        <v>17200000</v>
      </c>
      <c r="N31" s="50">
        <f t="shared" si="9"/>
        <v>0</v>
      </c>
      <c r="O31" s="50">
        <f t="shared" si="9"/>
        <v>0</v>
      </c>
      <c r="P31" s="50">
        <f t="shared" si="9"/>
        <v>135000000</v>
      </c>
      <c r="Q31" s="50">
        <f t="shared" si="9"/>
        <v>983333</v>
      </c>
      <c r="R31" s="50">
        <f t="shared" si="9"/>
        <v>12998269</v>
      </c>
      <c r="S31" s="50">
        <f t="shared" si="9"/>
        <v>25700000</v>
      </c>
      <c r="T31" s="50">
        <f t="shared" si="9"/>
        <v>342099469</v>
      </c>
    </row>
    <row r="32" spans="1:20">
      <c r="A32" s="1">
        <v>30502180401</v>
      </c>
      <c r="B32" s="1" t="s">
        <v>163</v>
      </c>
      <c r="C32" s="52">
        <v>45000000</v>
      </c>
      <c r="D32" s="51"/>
      <c r="E32" s="51"/>
      <c r="F32" s="47"/>
      <c r="G32" s="52">
        <f t="shared" ref="G32:G46" si="10">C32+D32-E32+F32</f>
        <v>45000000</v>
      </c>
      <c r="H32" s="52"/>
      <c r="I32" s="52"/>
      <c r="J32" s="52"/>
      <c r="K32" s="52"/>
      <c r="L32" s="52"/>
      <c r="M32" s="52"/>
      <c r="N32" s="52"/>
      <c r="O32" s="52"/>
      <c r="P32" s="19">
        <v>15000000</v>
      </c>
      <c r="Q32" s="52"/>
      <c r="R32" s="52"/>
      <c r="S32" s="52">
        <v>7600000</v>
      </c>
      <c r="T32" s="52">
        <f t="shared" ref="T32:T46" si="11">H32+I32+J32+K32+L32+M32+N32+O32+P32+Q32+R32+S32</f>
        <v>22600000</v>
      </c>
    </row>
    <row r="33" spans="1:20">
      <c r="A33" s="1">
        <v>30502180402</v>
      </c>
      <c r="B33" s="1" t="s">
        <v>164</v>
      </c>
      <c r="C33" s="52">
        <v>290000000</v>
      </c>
      <c r="D33" s="51">
        <v>13000000</v>
      </c>
      <c r="E33" s="51"/>
      <c r="F33" s="47"/>
      <c r="G33" s="52">
        <f t="shared" si="10"/>
        <v>303000000</v>
      </c>
      <c r="H33" s="52">
        <v>7392000</v>
      </c>
      <c r="I33" s="52">
        <v>90000000</v>
      </c>
      <c r="J33" s="52">
        <v>52825867</v>
      </c>
      <c r="K33" s="52"/>
      <c r="L33" s="52"/>
      <c r="M33" s="52"/>
      <c r="N33" s="52"/>
      <c r="O33" s="52"/>
      <c r="P33" s="19">
        <v>120000000</v>
      </c>
      <c r="Q33" s="52"/>
      <c r="R33" s="52">
        <v>12998269</v>
      </c>
      <c r="S33" s="52"/>
      <c r="T33" s="52">
        <f t="shared" si="11"/>
        <v>283216136</v>
      </c>
    </row>
    <row r="34" spans="1:20">
      <c r="A34" s="1">
        <v>30502180403</v>
      </c>
      <c r="B34" s="1" t="s">
        <v>165</v>
      </c>
      <c r="C34" s="52">
        <v>35000000</v>
      </c>
      <c r="D34" s="51"/>
      <c r="E34" s="51"/>
      <c r="F34" s="47"/>
      <c r="G34" s="52">
        <f t="shared" si="10"/>
        <v>35000000</v>
      </c>
      <c r="H34" s="52"/>
      <c r="I34" s="52"/>
      <c r="J34" s="52"/>
      <c r="K34" s="52"/>
      <c r="L34" s="52"/>
      <c r="M34" s="52"/>
      <c r="N34" s="52"/>
      <c r="O34" s="52"/>
      <c r="P34" s="19"/>
      <c r="Q34" s="52"/>
      <c r="R34" s="52"/>
      <c r="S34" s="52">
        <v>17200000</v>
      </c>
      <c r="T34" s="52">
        <f t="shared" si="11"/>
        <v>17200000</v>
      </c>
    </row>
    <row r="35" spans="1:20">
      <c r="A35" s="1">
        <v>30502180404</v>
      </c>
      <c r="B35" s="1" t="s">
        <v>166</v>
      </c>
      <c r="C35" s="52">
        <v>3000000</v>
      </c>
      <c r="D35" s="51"/>
      <c r="E35" s="51"/>
      <c r="F35" s="47"/>
      <c r="G35" s="52">
        <f t="shared" si="10"/>
        <v>3000000</v>
      </c>
      <c r="H35" s="52"/>
      <c r="I35" s="52"/>
      <c r="J35" s="52"/>
      <c r="K35" s="52"/>
      <c r="L35" s="52"/>
      <c r="M35" s="52"/>
      <c r="N35" s="52"/>
      <c r="O35" s="52"/>
      <c r="P35" s="19"/>
      <c r="Q35" s="52">
        <v>983333</v>
      </c>
      <c r="R35" s="52"/>
      <c r="S35" s="52">
        <v>900000</v>
      </c>
      <c r="T35" s="52">
        <f t="shared" si="11"/>
        <v>1883333</v>
      </c>
    </row>
    <row r="36" spans="1:20">
      <c r="A36" s="1">
        <v>30502180405</v>
      </c>
      <c r="B36" s="1" t="s">
        <v>167</v>
      </c>
      <c r="C36" s="52">
        <v>55000000</v>
      </c>
      <c r="D36" s="51"/>
      <c r="E36" s="51"/>
      <c r="F36" s="47"/>
      <c r="G36" s="52">
        <f t="shared" si="10"/>
        <v>55000000</v>
      </c>
      <c r="H36" s="52"/>
      <c r="I36" s="52"/>
      <c r="J36" s="52"/>
      <c r="K36" s="52"/>
      <c r="L36" s="52"/>
      <c r="M36" s="52">
        <v>17200000</v>
      </c>
      <c r="N36" s="52"/>
      <c r="O36" s="52"/>
      <c r="P36" s="19"/>
      <c r="Q36" s="52"/>
      <c r="R36" s="52"/>
      <c r="S36" s="52"/>
      <c r="T36" s="52">
        <f t="shared" si="11"/>
        <v>17200000</v>
      </c>
    </row>
    <row r="37" spans="1:20">
      <c r="A37" s="1"/>
      <c r="B37" s="48" t="s">
        <v>168</v>
      </c>
      <c r="C37" s="50">
        <f t="shared" ref="C37:T37" si="12">SUM(C38:C46)</f>
        <v>502500000</v>
      </c>
      <c r="D37" s="50">
        <f t="shared" si="12"/>
        <v>32000000</v>
      </c>
      <c r="E37" s="50">
        <f t="shared" si="12"/>
        <v>0</v>
      </c>
      <c r="F37" s="50">
        <f t="shared" si="12"/>
        <v>0</v>
      </c>
      <c r="G37" s="50">
        <f t="shared" si="12"/>
        <v>534500000</v>
      </c>
      <c r="H37" s="50">
        <f t="shared" si="12"/>
        <v>79485192</v>
      </c>
      <c r="I37" s="50">
        <f t="shared" si="12"/>
        <v>38899779</v>
      </c>
      <c r="J37" s="50">
        <f t="shared" si="12"/>
        <v>31598027</v>
      </c>
      <c r="K37" s="50">
        <f t="shared" si="12"/>
        <v>33834453</v>
      </c>
      <c r="L37" s="50">
        <f t="shared" si="12"/>
        <v>9635559</v>
      </c>
      <c r="M37" s="50">
        <f t="shared" si="12"/>
        <v>15445949</v>
      </c>
      <c r="N37" s="50">
        <f t="shared" si="12"/>
        <v>16783687</v>
      </c>
      <c r="O37" s="50">
        <f t="shared" si="12"/>
        <v>19089012</v>
      </c>
      <c r="P37" s="50">
        <f t="shared" si="12"/>
        <v>61754419</v>
      </c>
      <c r="Q37" s="50">
        <f t="shared" si="12"/>
        <v>37170659</v>
      </c>
      <c r="R37" s="50">
        <f t="shared" si="12"/>
        <v>15747892</v>
      </c>
      <c r="S37" s="50">
        <f t="shared" si="12"/>
        <v>45200146</v>
      </c>
      <c r="T37" s="50">
        <f t="shared" si="12"/>
        <v>404644774</v>
      </c>
    </row>
    <row r="38" spans="1:20">
      <c r="A38" s="1">
        <v>30502180406</v>
      </c>
      <c r="B38" s="1" t="s">
        <v>169</v>
      </c>
      <c r="C38" s="52">
        <v>55000000</v>
      </c>
      <c r="D38" s="51"/>
      <c r="E38" s="51"/>
      <c r="F38" s="47"/>
      <c r="G38" s="52">
        <f t="shared" si="10"/>
        <v>55000000</v>
      </c>
      <c r="H38" s="52">
        <v>30000000</v>
      </c>
      <c r="I38" s="52"/>
      <c r="J38" s="52">
        <v>19455723</v>
      </c>
      <c r="K38" s="52"/>
      <c r="L38" s="52"/>
      <c r="M38" s="52"/>
      <c r="N38" s="52"/>
      <c r="O38" s="52"/>
      <c r="P38" s="19"/>
      <c r="Q38" s="52"/>
      <c r="R38" s="52"/>
      <c r="S38" s="52"/>
      <c r="T38" s="52">
        <f t="shared" si="11"/>
        <v>49455723</v>
      </c>
    </row>
    <row r="39" spans="1:20">
      <c r="A39" s="1">
        <v>30502180407</v>
      </c>
      <c r="B39" s="1" t="s">
        <v>170</v>
      </c>
      <c r="C39" s="52">
        <v>75000000</v>
      </c>
      <c r="D39" s="51">
        <v>11000000</v>
      </c>
      <c r="E39" s="51"/>
      <c r="F39" s="47"/>
      <c r="G39" s="52">
        <f t="shared" si="10"/>
        <v>86000000</v>
      </c>
      <c r="H39" s="52"/>
      <c r="I39" s="52"/>
      <c r="J39" s="52"/>
      <c r="K39" s="52">
        <v>15740000</v>
      </c>
      <c r="L39" s="52"/>
      <c r="M39" s="52"/>
      <c r="N39" s="52"/>
      <c r="O39" s="52"/>
      <c r="P39" s="19">
        <v>51200000</v>
      </c>
      <c r="Q39" s="52"/>
      <c r="R39" s="52">
        <v>3000000</v>
      </c>
      <c r="S39" s="52">
        <v>16000000</v>
      </c>
      <c r="T39" s="52">
        <f t="shared" si="11"/>
        <v>85940000</v>
      </c>
    </row>
    <row r="40" spans="1:20">
      <c r="A40" s="1">
        <v>30502180408</v>
      </c>
      <c r="B40" s="1" t="s">
        <v>171</v>
      </c>
      <c r="C40" s="52">
        <v>30000000</v>
      </c>
      <c r="D40" s="51">
        <f>21000000</f>
        <v>21000000</v>
      </c>
      <c r="E40" s="51"/>
      <c r="F40" s="47"/>
      <c r="G40" s="52">
        <f t="shared" si="10"/>
        <v>51000000</v>
      </c>
      <c r="H40" s="52"/>
      <c r="I40" s="52">
        <v>13210000</v>
      </c>
      <c r="J40" s="52"/>
      <c r="K40" s="52"/>
      <c r="L40" s="52"/>
      <c r="M40" s="52"/>
      <c r="N40" s="52"/>
      <c r="O40" s="52"/>
      <c r="P40" s="19"/>
      <c r="Q40" s="52"/>
      <c r="R40" s="52"/>
      <c r="S40" s="52">
        <v>16601281</v>
      </c>
      <c r="T40" s="52">
        <f t="shared" si="11"/>
        <v>29811281</v>
      </c>
    </row>
    <row r="41" spans="1:20">
      <c r="A41" s="1">
        <v>30502180409</v>
      </c>
      <c r="B41" s="1" t="s">
        <v>172</v>
      </c>
      <c r="C41" s="52">
        <v>190000000</v>
      </c>
      <c r="D41" s="51"/>
      <c r="E41" s="51"/>
      <c r="F41" s="47"/>
      <c r="G41" s="52">
        <f t="shared" si="10"/>
        <v>190000000</v>
      </c>
      <c r="H41" s="52">
        <v>16278290</v>
      </c>
      <c r="I41" s="52">
        <v>15098087</v>
      </c>
      <c r="J41" s="52">
        <v>3645971</v>
      </c>
      <c r="K41" s="52">
        <v>18007154</v>
      </c>
      <c r="L41" s="52">
        <v>9635559</v>
      </c>
      <c r="M41" s="52">
        <v>10682711</v>
      </c>
      <c r="N41" s="52">
        <v>10929322</v>
      </c>
      <c r="O41" s="52">
        <v>9736687</v>
      </c>
      <c r="P41" s="19">
        <v>10279919</v>
      </c>
      <c r="Q41" s="52">
        <v>12281227</v>
      </c>
      <c r="R41" s="52">
        <v>12587392</v>
      </c>
      <c r="S41" s="52">
        <v>12040339</v>
      </c>
      <c r="T41" s="52">
        <f t="shared" si="11"/>
        <v>141202658</v>
      </c>
    </row>
    <row r="42" spans="1:20">
      <c r="A42" s="1">
        <v>30502180410</v>
      </c>
      <c r="B42" s="1" t="s">
        <v>173</v>
      </c>
      <c r="C42" s="52">
        <v>40000000</v>
      </c>
      <c r="D42" s="51"/>
      <c r="E42" s="51"/>
      <c r="F42" s="47"/>
      <c r="G42" s="52">
        <f t="shared" si="10"/>
        <v>40000000</v>
      </c>
      <c r="H42" s="52">
        <v>746989</v>
      </c>
      <c r="I42" s="52">
        <v>7591692</v>
      </c>
      <c r="J42" s="52">
        <v>4014093</v>
      </c>
      <c r="K42" s="52">
        <v>87299</v>
      </c>
      <c r="L42" s="52"/>
      <c r="M42" s="52">
        <v>4763238</v>
      </c>
      <c r="N42" s="52">
        <v>5854365</v>
      </c>
      <c r="O42" s="52">
        <v>387845</v>
      </c>
      <c r="P42" s="19"/>
      <c r="Q42" s="52">
        <v>7889432</v>
      </c>
      <c r="R42" s="52">
        <v>160500</v>
      </c>
      <c r="S42" s="52"/>
      <c r="T42" s="52">
        <f t="shared" si="11"/>
        <v>31495453</v>
      </c>
    </row>
    <row r="43" spans="1:20">
      <c r="A43" s="1">
        <v>30502180411</v>
      </c>
      <c r="B43" s="1" t="s">
        <v>174</v>
      </c>
      <c r="C43" s="52">
        <v>65000000</v>
      </c>
      <c r="D43" s="51"/>
      <c r="E43" s="51"/>
      <c r="F43" s="47"/>
      <c r="G43" s="52">
        <f t="shared" si="10"/>
        <v>65000000</v>
      </c>
      <c r="H43" s="52">
        <v>31615713</v>
      </c>
      <c r="I43" s="52"/>
      <c r="J43" s="52">
        <v>4482240</v>
      </c>
      <c r="K43" s="52"/>
      <c r="L43" s="52"/>
      <c r="M43" s="52"/>
      <c r="N43" s="52"/>
      <c r="O43" s="52">
        <v>8964480</v>
      </c>
      <c r="Q43" s="52">
        <v>17000000</v>
      </c>
      <c r="R43" s="52"/>
      <c r="S43" s="52">
        <v>558526</v>
      </c>
      <c r="T43" s="52">
        <f t="shared" si="11"/>
        <v>62620959</v>
      </c>
    </row>
    <row r="44" spans="1:20">
      <c r="A44" s="1">
        <v>30502180412</v>
      </c>
      <c r="B44" s="1" t="s">
        <v>175</v>
      </c>
      <c r="C44" s="52">
        <v>16500000</v>
      </c>
      <c r="D44" s="51"/>
      <c r="E44" s="51"/>
      <c r="F44" s="47"/>
      <c r="G44" s="52">
        <f t="shared" si="10"/>
        <v>16500000</v>
      </c>
      <c r="H44" s="52">
        <v>844200</v>
      </c>
      <c r="I44" s="52">
        <v>3000000</v>
      </c>
      <c r="J44" s="52"/>
      <c r="K44" s="52"/>
      <c r="L44" s="52"/>
      <c r="M44" s="52"/>
      <c r="N44" s="52"/>
      <c r="O44" s="52"/>
      <c r="P44" s="19"/>
      <c r="Q44" s="52"/>
      <c r="R44" s="52"/>
      <c r="S44" s="52"/>
      <c r="T44" s="52">
        <f t="shared" si="11"/>
        <v>3844200</v>
      </c>
    </row>
    <row r="45" spans="1:20">
      <c r="A45" s="1">
        <v>30502180413</v>
      </c>
      <c r="B45" s="1" t="s">
        <v>176</v>
      </c>
      <c r="C45" s="52">
        <v>30000000</v>
      </c>
      <c r="D45" s="51"/>
      <c r="E45" s="51"/>
      <c r="F45" s="47"/>
      <c r="G45" s="52">
        <f t="shared" si="10"/>
        <v>30000000</v>
      </c>
      <c r="H45" s="52"/>
      <c r="I45" s="52"/>
      <c r="J45" s="52"/>
      <c r="K45" s="52"/>
      <c r="L45" s="52"/>
      <c r="M45" s="52"/>
      <c r="N45" s="52"/>
      <c r="O45" s="52"/>
      <c r="P45" s="19"/>
      <c r="Q45" s="52"/>
      <c r="R45" s="52"/>
      <c r="S45" s="52"/>
      <c r="T45" s="52">
        <f t="shared" si="11"/>
        <v>0</v>
      </c>
    </row>
    <row r="46" spans="1:20">
      <c r="A46" s="1">
        <v>30502180414</v>
      </c>
      <c r="B46" s="1" t="s">
        <v>177</v>
      </c>
      <c r="C46" s="52">
        <v>1000000</v>
      </c>
      <c r="D46" s="51"/>
      <c r="E46" s="51"/>
      <c r="F46" s="47"/>
      <c r="G46" s="52">
        <f t="shared" si="10"/>
        <v>1000000</v>
      </c>
      <c r="H46" s="52"/>
      <c r="I46" s="52"/>
      <c r="J46" s="52"/>
      <c r="K46" s="52"/>
      <c r="L46" s="52"/>
      <c r="M46" s="52"/>
      <c r="N46" s="52"/>
      <c r="O46" s="52"/>
      <c r="P46" s="19">
        <v>274500</v>
      </c>
      <c r="Q46" s="52"/>
      <c r="R46" s="52"/>
      <c r="S46" s="52"/>
      <c r="T46" s="52">
        <f t="shared" si="11"/>
        <v>274500</v>
      </c>
    </row>
    <row r="47" spans="1:20">
      <c r="A47" s="33"/>
      <c r="B47" s="48" t="s">
        <v>178</v>
      </c>
      <c r="F47" s="55"/>
      <c r="P47" s="33"/>
      <c r="Q47" s="68"/>
      <c r="R47" s="68"/>
      <c r="S47" s="68"/>
    </row>
    <row r="48" spans="1:20">
      <c r="A48" s="33"/>
      <c r="B48" s="48" t="s">
        <v>179</v>
      </c>
      <c r="C48" s="50">
        <f t="shared" ref="C48:T48" si="13">SUM(C49:C52)</f>
        <v>564000000</v>
      </c>
      <c r="D48" s="50">
        <f t="shared" si="13"/>
        <v>0</v>
      </c>
      <c r="E48" s="50">
        <f t="shared" si="13"/>
        <v>20000000</v>
      </c>
      <c r="F48" s="50">
        <f t="shared" si="13"/>
        <v>0</v>
      </c>
      <c r="G48" s="50">
        <f t="shared" si="13"/>
        <v>544000000</v>
      </c>
      <c r="H48" s="50">
        <f t="shared" si="13"/>
        <v>15404287</v>
      </c>
      <c r="I48" s="50">
        <f t="shared" si="13"/>
        <v>204173310</v>
      </c>
      <c r="J48" s="50">
        <f t="shared" si="13"/>
        <v>30201634</v>
      </c>
      <c r="K48" s="50">
        <f t="shared" si="13"/>
        <v>21748334</v>
      </c>
      <c r="L48" s="50">
        <f t="shared" si="13"/>
        <v>58694179</v>
      </c>
      <c r="M48" s="50">
        <f t="shared" si="13"/>
        <v>15983752</v>
      </c>
      <c r="N48" s="50">
        <f t="shared" si="13"/>
        <v>5709806</v>
      </c>
      <c r="O48" s="50">
        <f t="shared" si="13"/>
        <v>26664981</v>
      </c>
      <c r="P48" s="50">
        <f t="shared" si="13"/>
        <v>12709806</v>
      </c>
      <c r="Q48" s="50">
        <f t="shared" si="13"/>
        <v>26175006</v>
      </c>
      <c r="R48" s="50">
        <f t="shared" si="13"/>
        <v>34009806</v>
      </c>
      <c r="S48" s="50">
        <f t="shared" si="13"/>
        <v>10411440</v>
      </c>
      <c r="T48" s="50">
        <f t="shared" si="13"/>
        <v>461886341</v>
      </c>
    </row>
    <row r="49" spans="1:20">
      <c r="A49" s="1">
        <v>30503180401</v>
      </c>
      <c r="B49" s="1" t="s">
        <v>180</v>
      </c>
      <c r="C49" s="52">
        <v>88000000</v>
      </c>
      <c r="D49" s="51"/>
      <c r="E49" s="51">
        <v>10000000</v>
      </c>
      <c r="F49" s="47"/>
      <c r="G49" s="52">
        <f t="shared" ref="G49:G56" si="14">C49+D49-E49+F49</f>
        <v>78000000</v>
      </c>
      <c r="H49" s="52">
        <v>4701634</v>
      </c>
      <c r="I49" s="52">
        <v>14305634</v>
      </c>
      <c r="J49" s="52">
        <v>4701634</v>
      </c>
      <c r="K49" s="52">
        <v>4748334</v>
      </c>
      <c r="L49" s="52">
        <v>4701634</v>
      </c>
      <c r="M49" s="52">
        <v>9798375</v>
      </c>
      <c r="N49" s="52">
        <v>4701634</v>
      </c>
      <c r="O49" s="52">
        <v>5656809</v>
      </c>
      <c r="P49" s="19">
        <v>4701634</v>
      </c>
      <c r="Q49" s="52">
        <v>4701634</v>
      </c>
      <c r="R49" s="52">
        <v>4701634</v>
      </c>
      <c r="S49" s="52">
        <v>9403268</v>
      </c>
      <c r="T49" s="52">
        <f t="shared" ref="T49:T56" si="15">H49+I49+J49+K49+L49+M49+N49+O49+P49+Q49+R49+S49</f>
        <v>76823858</v>
      </c>
    </row>
    <row r="50" spans="1:20">
      <c r="A50" s="1">
        <v>30503180402</v>
      </c>
      <c r="B50" s="1" t="s">
        <v>181</v>
      </c>
      <c r="C50" s="52">
        <v>1000000</v>
      </c>
      <c r="D50" s="51"/>
      <c r="E50" s="51"/>
      <c r="F50" s="47"/>
      <c r="G50" s="52">
        <f t="shared" si="14"/>
        <v>1000000</v>
      </c>
      <c r="H50" s="52"/>
      <c r="I50" s="52"/>
      <c r="J50" s="52"/>
      <c r="K50" s="52"/>
      <c r="L50" s="52"/>
      <c r="M50" s="52"/>
      <c r="N50" s="52"/>
      <c r="O50" s="52"/>
      <c r="P50" s="19"/>
      <c r="Q50" s="52"/>
      <c r="R50" s="52"/>
      <c r="S50" s="52"/>
      <c r="T50" s="52">
        <f t="shared" si="15"/>
        <v>0</v>
      </c>
    </row>
    <row r="51" spans="1:20">
      <c r="A51" s="1">
        <v>30503180403</v>
      </c>
      <c r="B51" s="1" t="s">
        <v>182</v>
      </c>
      <c r="C51" s="52">
        <v>455000000</v>
      </c>
      <c r="D51" s="51"/>
      <c r="E51" s="51"/>
      <c r="F51" s="47"/>
      <c r="G51" s="52">
        <f t="shared" si="14"/>
        <v>455000000</v>
      </c>
      <c r="H51" s="52">
        <v>2127577</v>
      </c>
      <c r="I51" s="52">
        <v>189863100</v>
      </c>
      <c r="J51" s="52">
        <v>25500000</v>
      </c>
      <c r="K51" s="52">
        <v>17000000</v>
      </c>
      <c r="L51" s="52">
        <f>53019814+972731</f>
        <v>53992545</v>
      </c>
      <c r="M51" s="52">
        <f>5000000+1185377</f>
        <v>6185377</v>
      </c>
      <c r="N51" s="52">
        <v>1008172</v>
      </c>
      <c r="O51" s="52">
        <f>20000000+1008172</f>
        <v>21008172</v>
      </c>
      <c r="P51" s="19">
        <f>7000000+1008172</f>
        <v>8008172</v>
      </c>
      <c r="Q51" s="52">
        <f>20465200+1008172</f>
        <v>21473372</v>
      </c>
      <c r="R51" s="52">
        <f>28300000+1008172</f>
        <v>29308172</v>
      </c>
      <c r="S51" s="52">
        <v>1008172</v>
      </c>
      <c r="T51" s="52">
        <f t="shared" si="15"/>
        <v>376482831</v>
      </c>
    </row>
    <row r="52" spans="1:20">
      <c r="A52" s="1">
        <v>30503180404</v>
      </c>
      <c r="B52" s="1" t="s">
        <v>183</v>
      </c>
      <c r="C52" s="52">
        <v>20000000</v>
      </c>
      <c r="D52" s="51"/>
      <c r="E52" s="51">
        <v>10000000</v>
      </c>
      <c r="F52" s="47"/>
      <c r="G52" s="52">
        <f t="shared" si="14"/>
        <v>10000000</v>
      </c>
      <c r="H52" s="52">
        <v>8575076</v>
      </c>
      <c r="I52" s="52">
        <v>4576</v>
      </c>
      <c r="J52" s="52"/>
      <c r="K52" s="52"/>
      <c r="L52" s="52"/>
      <c r="M52" s="52"/>
      <c r="N52" s="52"/>
      <c r="O52" s="52"/>
      <c r="P52" s="19"/>
      <c r="Q52" s="52"/>
      <c r="R52" s="52"/>
      <c r="S52" s="52"/>
      <c r="T52" s="52">
        <f t="shared" si="15"/>
        <v>8579652</v>
      </c>
    </row>
    <row r="53" spans="1:20">
      <c r="A53" s="1"/>
      <c r="B53" s="48" t="s">
        <v>184</v>
      </c>
      <c r="C53" s="50">
        <f>SUM(C54:C57)</f>
        <v>180000000</v>
      </c>
      <c r="D53" s="50">
        <f>SUM(D54:D57)</f>
        <v>65000000</v>
      </c>
      <c r="E53" s="50">
        <f>SUM(E54:E57)</f>
        <v>0</v>
      </c>
      <c r="F53" s="47"/>
      <c r="G53" s="50">
        <f>SUM(G54:G57)</f>
        <v>245000000</v>
      </c>
      <c r="H53" s="50">
        <f>SUM(H54:H57)</f>
        <v>1000000</v>
      </c>
      <c r="I53" s="50">
        <f>SUM(I54:I57)</f>
        <v>16841609</v>
      </c>
      <c r="J53" s="50">
        <f t="shared" ref="J53:T53" si="16">SUM(J54:J57)</f>
        <v>20945576</v>
      </c>
      <c r="K53" s="50">
        <f t="shared" si="16"/>
        <v>27001755</v>
      </c>
      <c r="L53" s="50">
        <f t="shared" si="16"/>
        <v>22982468</v>
      </c>
      <c r="M53" s="50">
        <f t="shared" si="16"/>
        <v>11857097</v>
      </c>
      <c r="N53" s="50">
        <f t="shared" si="16"/>
        <v>23812537</v>
      </c>
      <c r="O53" s="50">
        <f t="shared" si="16"/>
        <v>11477608</v>
      </c>
      <c r="P53" s="50">
        <f t="shared" si="16"/>
        <v>5424637</v>
      </c>
      <c r="Q53" s="50">
        <f t="shared" si="16"/>
        <v>12134754</v>
      </c>
      <c r="R53" s="50">
        <f t="shared" si="16"/>
        <v>6370120</v>
      </c>
      <c r="S53" s="50">
        <f t="shared" si="16"/>
        <v>39778338</v>
      </c>
      <c r="T53" s="50">
        <f t="shared" si="16"/>
        <v>199626499</v>
      </c>
    </row>
    <row r="54" spans="1:20">
      <c r="A54" s="1">
        <v>30503180405</v>
      </c>
      <c r="B54" s="1" t="s">
        <v>185</v>
      </c>
      <c r="C54" s="52">
        <v>30000000</v>
      </c>
      <c r="D54" s="51"/>
      <c r="E54" s="51"/>
      <c r="F54" s="47"/>
      <c r="G54" s="52">
        <f t="shared" si="14"/>
        <v>30000000</v>
      </c>
      <c r="H54" s="52"/>
      <c r="I54" s="52"/>
      <c r="J54" s="52"/>
      <c r="K54" s="52">
        <v>10335755</v>
      </c>
      <c r="L54" s="52">
        <v>17170478</v>
      </c>
      <c r="M54" s="52">
        <v>369134</v>
      </c>
      <c r="N54" s="52"/>
      <c r="O54" s="52"/>
      <c r="P54" s="19"/>
      <c r="Q54" s="52"/>
      <c r="R54" s="52"/>
      <c r="S54" s="52"/>
      <c r="T54" s="52">
        <f t="shared" si="15"/>
        <v>27875367</v>
      </c>
    </row>
    <row r="55" spans="1:20">
      <c r="A55" s="1">
        <v>30503180406</v>
      </c>
      <c r="B55" s="1" t="s">
        <v>186</v>
      </c>
      <c r="C55" s="52">
        <v>80000000</v>
      </c>
      <c r="D55" s="51"/>
      <c r="E55" s="51"/>
      <c r="F55" s="47"/>
      <c r="G55" s="52">
        <f t="shared" si="14"/>
        <v>80000000</v>
      </c>
      <c r="H55" s="52"/>
      <c r="I55" s="52">
        <v>1533840</v>
      </c>
      <c r="J55" s="52">
        <v>2336000</v>
      </c>
      <c r="K55" s="52">
        <v>12970000</v>
      </c>
      <c r="L55" s="52"/>
      <c r="M55" s="52">
        <v>7809200</v>
      </c>
      <c r="N55" s="52"/>
      <c r="O55" s="52">
        <v>7200000</v>
      </c>
      <c r="P55" s="19"/>
      <c r="Q55" s="52"/>
      <c r="R55" s="52"/>
      <c r="S55" s="52">
        <v>26920000</v>
      </c>
      <c r="T55" s="52">
        <f t="shared" si="15"/>
        <v>58769040</v>
      </c>
    </row>
    <row r="56" spans="1:20">
      <c r="A56" s="1">
        <v>30503180407</v>
      </c>
      <c r="B56" s="1" t="s">
        <v>187</v>
      </c>
      <c r="C56" s="52">
        <v>70000000</v>
      </c>
      <c r="D56" s="51">
        <f>30000000+35000000</f>
        <v>65000000</v>
      </c>
      <c r="E56" s="51"/>
      <c r="F56" s="47"/>
      <c r="G56" s="52">
        <f t="shared" si="14"/>
        <v>135000000</v>
      </c>
      <c r="H56" s="52">
        <v>1000000</v>
      </c>
      <c r="I56" s="52">
        <v>15307769</v>
      </c>
      <c r="J56" s="52">
        <v>18609576</v>
      </c>
      <c r="K56" s="52">
        <v>3696000</v>
      </c>
      <c r="L56" s="52">
        <v>5811990</v>
      </c>
      <c r="M56" s="52">
        <v>3678763</v>
      </c>
      <c r="N56" s="52">
        <v>23812537</v>
      </c>
      <c r="O56" s="52">
        <v>4277608</v>
      </c>
      <c r="P56" s="19">
        <v>5424637</v>
      </c>
      <c r="Q56" s="52">
        <v>12134754</v>
      </c>
      <c r="R56" s="52">
        <v>6370120</v>
      </c>
      <c r="S56" s="52">
        <v>12858338</v>
      </c>
      <c r="T56" s="52">
        <f t="shared" si="15"/>
        <v>112982092</v>
      </c>
    </row>
    <row r="57" spans="1:20">
      <c r="A57" s="1"/>
      <c r="B57" s="1"/>
      <c r="F57" s="47"/>
      <c r="P57" s="33"/>
      <c r="Q57" s="68"/>
      <c r="R57" s="68"/>
      <c r="S57" s="68"/>
    </row>
    <row r="58" spans="1:20">
      <c r="A58" s="9"/>
      <c r="B58" s="30" t="s">
        <v>188</v>
      </c>
      <c r="C58" s="57">
        <f t="shared" ref="C58:T58" si="17">C6+C18+C22+C24+C31+C37+C48+C53</f>
        <v>6446500000</v>
      </c>
      <c r="D58" s="57">
        <f t="shared" si="17"/>
        <v>374000000</v>
      </c>
      <c r="E58" s="57">
        <f t="shared" si="17"/>
        <v>374000000</v>
      </c>
      <c r="F58" s="58">
        <f t="shared" si="17"/>
        <v>0</v>
      </c>
      <c r="G58" s="57">
        <f t="shared" si="17"/>
        <v>6446500000</v>
      </c>
      <c r="H58" s="57">
        <f t="shared" si="17"/>
        <v>661076649</v>
      </c>
      <c r="I58" s="57">
        <f t="shared" si="17"/>
        <v>654864657</v>
      </c>
      <c r="J58" s="57">
        <f t="shared" si="17"/>
        <v>375891220</v>
      </c>
      <c r="K58" s="57">
        <f t="shared" si="17"/>
        <v>320350971</v>
      </c>
      <c r="L58" s="57">
        <f t="shared" si="17"/>
        <v>327779379</v>
      </c>
      <c r="M58" s="57">
        <f t="shared" si="17"/>
        <v>350509976</v>
      </c>
      <c r="N58" s="57">
        <f t="shared" si="17"/>
        <v>580373618</v>
      </c>
      <c r="O58" s="57">
        <f t="shared" si="17"/>
        <v>418381465</v>
      </c>
      <c r="P58" s="57">
        <f t="shared" si="17"/>
        <v>489711745</v>
      </c>
      <c r="Q58" s="57">
        <f t="shared" si="17"/>
        <v>460821908</v>
      </c>
      <c r="R58" s="57">
        <f t="shared" si="17"/>
        <v>423524036</v>
      </c>
      <c r="S58" s="57">
        <f t="shared" si="17"/>
        <v>618903732</v>
      </c>
      <c r="T58" s="57">
        <f t="shared" si="17"/>
        <v>5682189356</v>
      </c>
    </row>
    <row r="59" spans="1:20" ht="21" customHeight="1">
      <c r="A59" s="33"/>
      <c r="B59" s="36" t="s">
        <v>189</v>
      </c>
      <c r="D59" s="33"/>
      <c r="E59" s="33"/>
      <c r="F59" s="47"/>
      <c r="G59" s="33"/>
      <c r="H59" s="33"/>
      <c r="I59" s="33"/>
      <c r="J59" s="33"/>
      <c r="K59" s="69"/>
      <c r="L59" s="69"/>
      <c r="M59" s="69"/>
      <c r="N59" s="69"/>
      <c r="O59" s="69"/>
      <c r="P59" s="33"/>
      <c r="Q59" s="69"/>
      <c r="R59" s="69"/>
      <c r="S59" s="69"/>
      <c r="T59" s="52"/>
    </row>
    <row r="60" spans="1:20">
      <c r="A60" s="1">
        <v>305061804</v>
      </c>
      <c r="B60" s="48" t="s">
        <v>190</v>
      </c>
      <c r="C60" s="52">
        <v>0</v>
      </c>
      <c r="D60" s="51"/>
      <c r="E60" s="51"/>
      <c r="F60" s="47"/>
      <c r="G60" s="52">
        <f>C60+D60-E60+F60</f>
        <v>0</v>
      </c>
      <c r="H60" s="52"/>
      <c r="I60" s="52"/>
      <c r="J60" s="52"/>
      <c r="K60" s="52"/>
      <c r="L60" s="52"/>
      <c r="M60" s="52"/>
      <c r="N60" s="52"/>
      <c r="O60" s="52"/>
      <c r="P60" s="19"/>
      <c r="Q60" s="52"/>
      <c r="R60" s="52"/>
      <c r="S60" s="52"/>
      <c r="T60" s="52">
        <f t="shared" ref="T60:T70" si="18">H60+I60+J60+K60+L60+M60+N60+O60+P60+Q60+R60+S60</f>
        <v>0</v>
      </c>
    </row>
    <row r="61" spans="1:20">
      <c r="A61" s="1">
        <v>30506180401</v>
      </c>
      <c r="B61" s="1" t="s">
        <v>191</v>
      </c>
      <c r="C61" s="52">
        <v>0</v>
      </c>
      <c r="D61" s="51"/>
      <c r="E61" s="51"/>
      <c r="F61" s="47"/>
      <c r="G61" s="52">
        <f>C61+D61-E61+F61</f>
        <v>0</v>
      </c>
      <c r="H61" s="52"/>
      <c r="I61" s="52"/>
      <c r="J61" s="52"/>
      <c r="K61" s="52"/>
      <c r="L61" s="52"/>
      <c r="M61" s="52"/>
      <c r="N61" s="52"/>
      <c r="O61" s="52"/>
      <c r="P61" s="19"/>
      <c r="Q61" s="52"/>
      <c r="R61" s="52"/>
      <c r="S61" s="52"/>
      <c r="T61" s="52">
        <f t="shared" si="18"/>
        <v>0</v>
      </c>
    </row>
    <row r="62" spans="1:20">
      <c r="A62" s="1">
        <v>30506180402</v>
      </c>
      <c r="B62" s="1" t="s">
        <v>192</v>
      </c>
      <c r="C62" s="52">
        <v>0</v>
      </c>
      <c r="D62" s="51"/>
      <c r="E62" s="51"/>
      <c r="F62" s="47"/>
      <c r="G62" s="52">
        <f>C62+D62-E62+F62</f>
        <v>0</v>
      </c>
      <c r="H62" s="52"/>
      <c r="I62" s="52"/>
      <c r="J62" s="52"/>
      <c r="K62" s="52"/>
      <c r="L62" s="52"/>
      <c r="M62" s="52"/>
      <c r="N62" s="52"/>
      <c r="O62" s="52"/>
      <c r="P62" s="19"/>
      <c r="Q62" s="52"/>
      <c r="R62" s="52"/>
      <c r="S62" s="52"/>
      <c r="T62" s="52">
        <f t="shared" si="18"/>
        <v>0</v>
      </c>
    </row>
    <row r="63" spans="1:20">
      <c r="A63" s="9"/>
      <c r="B63" s="30" t="s">
        <v>193</v>
      </c>
      <c r="C63" s="60">
        <v>0</v>
      </c>
      <c r="D63" s="60">
        <v>0</v>
      </c>
      <c r="E63" s="60">
        <v>0</v>
      </c>
      <c r="F63" s="59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</row>
    <row r="64" spans="1:20" ht="21" customHeight="1">
      <c r="A64" s="33"/>
      <c r="B64" s="36" t="s">
        <v>194</v>
      </c>
      <c r="C64" s="52"/>
      <c r="D64" s="33"/>
      <c r="E64" s="33"/>
      <c r="F64" s="47"/>
      <c r="G64" s="33"/>
      <c r="H64" s="33"/>
      <c r="I64" s="33"/>
      <c r="J64" s="33"/>
      <c r="K64" s="69"/>
      <c r="L64" s="69"/>
      <c r="M64" s="69"/>
      <c r="N64" s="69"/>
      <c r="O64" s="69"/>
      <c r="P64" s="33"/>
      <c r="Q64" s="69"/>
      <c r="R64" s="69"/>
      <c r="S64" s="69"/>
      <c r="T64" s="52">
        <f t="shared" si="18"/>
        <v>0</v>
      </c>
    </row>
    <row r="65" spans="1:20">
      <c r="A65" s="1">
        <v>30507180401</v>
      </c>
      <c r="B65" s="1" t="s">
        <v>240</v>
      </c>
      <c r="C65" s="52">
        <v>750000000</v>
      </c>
      <c r="D65" s="19"/>
      <c r="E65" s="19"/>
      <c r="F65" s="61"/>
      <c r="G65" s="52">
        <f t="shared" ref="G65:G70" si="19">C65+D65-E65+F65</f>
        <v>750000000</v>
      </c>
      <c r="H65" s="52">
        <v>31190000</v>
      </c>
      <c r="I65" s="52"/>
      <c r="J65" s="52"/>
      <c r="K65" s="52">
        <v>0</v>
      </c>
      <c r="L65" s="52">
        <v>0</v>
      </c>
      <c r="M65" s="52">
        <v>15000000</v>
      </c>
      <c r="N65" s="52">
        <v>9325000</v>
      </c>
      <c r="O65" s="52">
        <v>159087781</v>
      </c>
      <c r="P65" s="19"/>
      <c r="Q65" s="52"/>
      <c r="R65" s="52"/>
      <c r="S65" s="52"/>
      <c r="T65" s="52">
        <f t="shared" si="18"/>
        <v>214602781</v>
      </c>
    </row>
    <row r="66" spans="1:20">
      <c r="A66" s="1">
        <v>30507180402</v>
      </c>
      <c r="B66" s="1" t="s">
        <v>241</v>
      </c>
      <c r="C66" s="52">
        <v>550000000</v>
      </c>
      <c r="D66" s="33"/>
      <c r="E66" s="19"/>
      <c r="F66" s="52">
        <v>680017406</v>
      </c>
      <c r="G66" s="52">
        <f t="shared" si="19"/>
        <v>1230017406</v>
      </c>
      <c r="H66" s="52">
        <f>33300000-3600000</f>
        <v>29700000</v>
      </c>
      <c r="I66" s="52">
        <v>30000000</v>
      </c>
      <c r="J66" s="52"/>
      <c r="K66" s="52">
        <v>0</v>
      </c>
      <c r="L66" s="52">
        <v>0</v>
      </c>
      <c r="M66" s="52">
        <v>56000000</v>
      </c>
      <c r="N66" s="52">
        <v>11297673</v>
      </c>
      <c r="O66" s="52">
        <v>967133221</v>
      </c>
      <c r="P66" s="19"/>
      <c r="Q66" s="52">
        <v>23698391</v>
      </c>
      <c r="R66" s="52">
        <v>1897700</v>
      </c>
      <c r="S66" s="52">
        <v>1250000</v>
      </c>
      <c r="T66" s="52">
        <f t="shared" si="18"/>
        <v>1120976985</v>
      </c>
    </row>
    <row r="67" spans="1:20">
      <c r="A67" s="1">
        <v>30507180403</v>
      </c>
      <c r="B67" s="1" t="s">
        <v>242</v>
      </c>
      <c r="C67" s="52">
        <v>320000000</v>
      </c>
      <c r="D67" s="33"/>
      <c r="E67" s="19"/>
      <c r="F67" s="51">
        <v>300500000</v>
      </c>
      <c r="G67" s="52">
        <f t="shared" si="19"/>
        <v>620500000</v>
      </c>
      <c r="H67" s="52">
        <v>163400000</v>
      </c>
      <c r="I67" s="52"/>
      <c r="J67" s="52">
        <v>15000000</v>
      </c>
      <c r="K67" s="52">
        <v>0</v>
      </c>
      <c r="L67" s="52">
        <v>0</v>
      </c>
      <c r="M67" s="52"/>
      <c r="N67" s="52">
        <v>15300000</v>
      </c>
      <c r="O67" s="52">
        <v>110100000</v>
      </c>
      <c r="P67" s="19">
        <v>100000000</v>
      </c>
      <c r="Q67" s="52"/>
      <c r="R67" s="52">
        <v>185500000</v>
      </c>
      <c r="S67" s="52">
        <v>1926667</v>
      </c>
      <c r="T67" s="52">
        <f t="shared" si="18"/>
        <v>591226667</v>
      </c>
    </row>
    <row r="68" spans="1:20">
      <c r="A68" s="1">
        <v>30507180404</v>
      </c>
      <c r="B68" s="1" t="s">
        <v>243</v>
      </c>
      <c r="C68" s="52">
        <v>160000000</v>
      </c>
      <c r="D68" s="33"/>
      <c r="E68" s="19"/>
      <c r="F68" s="19"/>
      <c r="G68" s="19">
        <f t="shared" si="19"/>
        <v>160000000</v>
      </c>
      <c r="H68" s="52">
        <v>160000000</v>
      </c>
      <c r="I68" s="52"/>
      <c r="J68" s="52"/>
      <c r="K68" s="52">
        <v>0</v>
      </c>
      <c r="L68" s="52">
        <v>0</v>
      </c>
      <c r="M68" s="52"/>
      <c r="N68" s="52"/>
      <c r="O68" s="52"/>
      <c r="P68" s="19"/>
      <c r="Q68" s="52"/>
      <c r="R68" s="52"/>
      <c r="S68" s="52"/>
      <c r="T68" s="52">
        <f t="shared" si="18"/>
        <v>160000000</v>
      </c>
    </row>
    <row r="69" spans="1:20">
      <c r="A69" s="1">
        <v>30507180405</v>
      </c>
      <c r="B69" s="1" t="s">
        <v>244</v>
      </c>
      <c r="C69" s="52">
        <v>160000000</v>
      </c>
      <c r="D69" s="33"/>
      <c r="E69" s="19"/>
      <c r="F69" s="19"/>
      <c r="G69" s="19">
        <f t="shared" si="19"/>
        <v>160000000</v>
      </c>
      <c r="H69" s="52">
        <v>18500000</v>
      </c>
      <c r="I69" s="52"/>
      <c r="J69" s="52"/>
      <c r="K69" s="52">
        <v>0</v>
      </c>
      <c r="L69" s="52">
        <v>0</v>
      </c>
      <c r="M69" s="52"/>
      <c r="N69" s="52">
        <v>11500000</v>
      </c>
      <c r="O69" s="52">
        <v>20000000</v>
      </c>
      <c r="P69" s="19"/>
      <c r="Q69" s="52"/>
      <c r="R69" s="52">
        <v>17200000</v>
      </c>
      <c r="S69" s="52"/>
      <c r="T69" s="52">
        <f t="shared" si="18"/>
        <v>67200000</v>
      </c>
    </row>
    <row r="70" spans="1:20">
      <c r="A70" s="1">
        <v>30507180406</v>
      </c>
      <c r="B70" s="62" t="s">
        <v>245</v>
      </c>
      <c r="C70" s="52">
        <v>400000000</v>
      </c>
      <c r="D70" s="33"/>
      <c r="E70" s="19"/>
      <c r="F70" s="51">
        <v>255500000</v>
      </c>
      <c r="G70" s="52">
        <f t="shared" si="19"/>
        <v>655500000</v>
      </c>
      <c r="H70" s="52">
        <v>183794211</v>
      </c>
      <c r="I70" s="52"/>
      <c r="J70" s="52"/>
      <c r="K70" s="52"/>
      <c r="L70" s="52">
        <v>20227156</v>
      </c>
      <c r="M70" s="52"/>
      <c r="N70" s="52">
        <v>27680000</v>
      </c>
      <c r="O70" s="52">
        <v>109594229</v>
      </c>
      <c r="P70" s="19">
        <v>255500000</v>
      </c>
      <c r="Q70" s="52">
        <v>407000</v>
      </c>
      <c r="R70" s="52">
        <v>7000000</v>
      </c>
      <c r="S70" s="52"/>
      <c r="T70" s="52">
        <f t="shared" si="18"/>
        <v>604202596</v>
      </c>
    </row>
    <row r="71" spans="1:20">
      <c r="A71" s="9"/>
      <c r="B71" s="30" t="s">
        <v>201</v>
      </c>
      <c r="C71" s="57">
        <f t="shared" ref="C71:I71" si="20">SUM(C65:C70)</f>
        <v>2340000000</v>
      </c>
      <c r="D71" s="57">
        <f t="shared" si="20"/>
        <v>0</v>
      </c>
      <c r="E71" s="57">
        <f t="shared" si="20"/>
        <v>0</v>
      </c>
      <c r="F71" s="57">
        <f t="shared" si="20"/>
        <v>1236017406</v>
      </c>
      <c r="G71" s="57">
        <f t="shared" si="20"/>
        <v>3576017406</v>
      </c>
      <c r="H71" s="57">
        <f t="shared" si="20"/>
        <v>586584211</v>
      </c>
      <c r="I71" s="57">
        <f t="shared" si="20"/>
        <v>30000000</v>
      </c>
      <c r="J71" s="57">
        <f t="shared" ref="J71:T71" si="21">SUM(J65:J70)</f>
        <v>15000000</v>
      </c>
      <c r="K71" s="57">
        <f t="shared" si="21"/>
        <v>0</v>
      </c>
      <c r="L71" s="57">
        <f t="shared" si="21"/>
        <v>20227156</v>
      </c>
      <c r="M71" s="57">
        <f t="shared" si="21"/>
        <v>71000000</v>
      </c>
      <c r="N71" s="57">
        <f t="shared" si="21"/>
        <v>75102673</v>
      </c>
      <c r="O71" s="57">
        <f t="shared" si="21"/>
        <v>1365915231</v>
      </c>
      <c r="P71" s="57">
        <f t="shared" si="21"/>
        <v>355500000</v>
      </c>
      <c r="Q71" s="57">
        <f t="shared" si="21"/>
        <v>24105391</v>
      </c>
      <c r="R71" s="57">
        <f t="shared" si="21"/>
        <v>211597700</v>
      </c>
      <c r="S71" s="57">
        <f t="shared" si="21"/>
        <v>3176667</v>
      </c>
      <c r="T71" s="70">
        <f t="shared" si="21"/>
        <v>2758209029</v>
      </c>
    </row>
    <row r="72" spans="1:20" ht="15.75">
      <c r="A72" s="104" t="s">
        <v>256</v>
      </c>
      <c r="B72" s="104"/>
      <c r="C72" s="63">
        <f>C58+C63+C71</f>
        <v>8786500000</v>
      </c>
      <c r="D72" s="63">
        <f>D58+D63+D71</f>
        <v>374000000</v>
      </c>
      <c r="E72" s="63">
        <f>E58+E63+E71</f>
        <v>374000000</v>
      </c>
      <c r="F72" s="63">
        <f t="shared" ref="F72:T72" si="22">F58+F63+F71</f>
        <v>1236017406</v>
      </c>
      <c r="G72" s="63">
        <f t="shared" si="22"/>
        <v>10022517406</v>
      </c>
      <c r="H72" s="63">
        <f t="shared" si="22"/>
        <v>1247660860</v>
      </c>
      <c r="I72" s="63">
        <f t="shared" si="22"/>
        <v>684864657</v>
      </c>
      <c r="J72" s="63">
        <f t="shared" si="22"/>
        <v>390891220</v>
      </c>
      <c r="K72" s="63">
        <f t="shared" si="22"/>
        <v>320350971</v>
      </c>
      <c r="L72" s="63">
        <f t="shared" si="22"/>
        <v>348006535</v>
      </c>
      <c r="M72" s="63">
        <f t="shared" si="22"/>
        <v>421509976</v>
      </c>
      <c r="N72" s="63">
        <f t="shared" ref="N72:S72" si="23">SUM(N58,N71)</f>
        <v>655476291</v>
      </c>
      <c r="O72" s="63">
        <f t="shared" si="23"/>
        <v>1784296696</v>
      </c>
      <c r="P72" s="63">
        <f t="shared" si="23"/>
        <v>845211745</v>
      </c>
      <c r="Q72" s="63">
        <f t="shared" si="23"/>
        <v>484927299</v>
      </c>
      <c r="R72" s="63">
        <f t="shared" si="23"/>
        <v>635121736</v>
      </c>
      <c r="S72" s="63">
        <f t="shared" si="23"/>
        <v>622080399</v>
      </c>
      <c r="T72" s="63">
        <f t="shared" si="22"/>
        <v>8440398385</v>
      </c>
    </row>
  </sheetData>
  <mergeCells count="22">
    <mergeCell ref="A1:T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Q2:Q3"/>
    <mergeCell ref="R2:R3"/>
    <mergeCell ref="S2:S3"/>
    <mergeCell ref="T2:T3"/>
    <mergeCell ref="O2:O3"/>
    <mergeCell ref="P2:P3"/>
    <mergeCell ref="A72:B72"/>
    <mergeCell ref="K2:K3"/>
    <mergeCell ref="L2:L3"/>
    <mergeCell ref="M2:M3"/>
    <mergeCell ref="N2:N3"/>
    <mergeCell ref="B4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"/>
  <sheetViews>
    <sheetView topLeftCell="A22" workbookViewId="0">
      <selection activeCell="J64" sqref="J64"/>
    </sheetView>
  </sheetViews>
  <sheetFormatPr baseColWidth="10" defaultRowHeight="15"/>
  <cols>
    <col min="2" max="2" width="37.7109375" bestFit="1" customWidth="1"/>
    <col min="3" max="3" width="17.140625" customWidth="1"/>
    <col min="4" max="4" width="15" customWidth="1"/>
    <col min="5" max="5" width="18.7109375" customWidth="1"/>
    <col min="6" max="6" width="14" customWidth="1"/>
    <col min="7" max="7" width="14.140625" customWidth="1"/>
    <col min="8" max="8" width="14" customWidth="1"/>
    <col min="9" max="9" width="14.42578125" customWidth="1"/>
    <col min="10" max="10" width="17.85546875" customWidth="1"/>
    <col min="11" max="11" width="17.42578125" customWidth="1"/>
    <col min="12" max="12" width="17.85546875" customWidth="1"/>
  </cols>
  <sheetData>
    <row r="1" spans="1:12">
      <c r="A1" s="105" t="s">
        <v>3</v>
      </c>
      <c r="B1" s="105" t="s">
        <v>4</v>
      </c>
      <c r="C1" s="105" t="s">
        <v>257</v>
      </c>
      <c r="D1" s="105" t="s">
        <v>205</v>
      </c>
      <c r="E1" s="105" t="s">
        <v>121</v>
      </c>
      <c r="F1" s="105" t="s">
        <v>258</v>
      </c>
      <c r="G1" s="105" t="s">
        <v>259</v>
      </c>
      <c r="H1" s="105" t="s">
        <v>260</v>
      </c>
      <c r="I1" s="105" t="s">
        <v>261</v>
      </c>
      <c r="J1" s="105" t="s">
        <v>262</v>
      </c>
      <c r="K1" s="105" t="s">
        <v>263</v>
      </c>
      <c r="L1" s="105" t="s">
        <v>264</v>
      </c>
    </row>
    <row r="2" spans="1:1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>
      <c r="A3" s="1">
        <v>1.1000000000000001</v>
      </c>
      <c r="B3" s="2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7"/>
    </row>
    <row r="4" spans="1:12">
      <c r="A4" s="5" t="s">
        <v>22</v>
      </c>
      <c r="B4" s="6" t="s">
        <v>23</v>
      </c>
      <c r="C4" s="7">
        <v>1200000000</v>
      </c>
      <c r="D4" s="7"/>
      <c r="E4" s="7">
        <f>+C4+D4</f>
        <v>1200000000</v>
      </c>
      <c r="F4" s="7"/>
      <c r="G4" s="33"/>
      <c r="H4" s="33"/>
      <c r="I4" s="33"/>
      <c r="J4" s="7">
        <v>452000000</v>
      </c>
      <c r="K4" s="7"/>
      <c r="L4" s="7">
        <f>F4+G4+H4+I4+J4+K4</f>
        <v>452000000</v>
      </c>
    </row>
    <row r="5" spans="1:12">
      <c r="A5" s="1">
        <v>1.2</v>
      </c>
      <c r="B5" s="2" t="s">
        <v>24</v>
      </c>
      <c r="C5" s="7"/>
      <c r="D5" s="7"/>
      <c r="E5" s="7"/>
      <c r="F5" s="33"/>
      <c r="G5" s="33"/>
      <c r="H5" s="33"/>
      <c r="I5" s="33"/>
      <c r="J5" s="33"/>
      <c r="K5" s="33"/>
      <c r="L5" s="7"/>
    </row>
    <row r="6" spans="1:12">
      <c r="A6" s="5" t="s">
        <v>25</v>
      </c>
      <c r="B6" s="6" t="s">
        <v>26</v>
      </c>
      <c r="C6" s="7">
        <v>2300000000</v>
      </c>
      <c r="D6" s="7"/>
      <c r="E6" s="7">
        <f t="shared" ref="E6:E46" si="0">+C6+D6</f>
        <v>2300000000</v>
      </c>
      <c r="F6" s="7">
        <v>114034935</v>
      </c>
      <c r="G6" s="7">
        <f>126262991+2337095</f>
        <v>128600086</v>
      </c>
      <c r="H6" s="7">
        <f>127539497+12952614</f>
        <v>140492111</v>
      </c>
      <c r="I6" s="7">
        <f>102773010+58426283</f>
        <v>161199293</v>
      </c>
      <c r="J6" s="7">
        <f>106057221+43396000</f>
        <v>149453221</v>
      </c>
      <c r="K6" s="7">
        <f>118377640+61029672+50000000</f>
        <v>229407312</v>
      </c>
      <c r="L6" s="7">
        <f>F6+G6+H6+I6+J6+K6</f>
        <v>923186958</v>
      </c>
    </row>
    <row r="7" spans="1:12">
      <c r="A7" s="5" t="s">
        <v>27</v>
      </c>
      <c r="B7" s="6" t="s">
        <v>28</v>
      </c>
      <c r="C7" s="7">
        <v>300000000</v>
      </c>
      <c r="D7" s="7"/>
      <c r="E7" s="7">
        <f t="shared" si="0"/>
        <v>300000000</v>
      </c>
      <c r="F7" s="7">
        <v>69795214</v>
      </c>
      <c r="G7" s="7">
        <v>42897533</v>
      </c>
      <c r="H7" s="7">
        <v>59852414</v>
      </c>
      <c r="I7" s="7">
        <v>28759874</v>
      </c>
      <c r="J7" s="7">
        <v>19875456</v>
      </c>
      <c r="K7" s="7">
        <v>31756432</v>
      </c>
      <c r="L7" s="7">
        <f t="shared" ref="L7:L46" si="1">F7+G7+H7+I7+J7+K7</f>
        <v>252936923</v>
      </c>
    </row>
    <row r="8" spans="1:12">
      <c r="A8" s="5" t="s">
        <v>29</v>
      </c>
      <c r="B8" s="6" t="s">
        <v>265</v>
      </c>
      <c r="C8" s="7">
        <v>50000000</v>
      </c>
      <c r="D8" s="7"/>
      <c r="E8" s="7">
        <f t="shared" si="0"/>
        <v>50000000</v>
      </c>
      <c r="F8" s="7">
        <v>3568942</v>
      </c>
      <c r="G8" s="7">
        <v>1589554</v>
      </c>
      <c r="H8" s="7">
        <v>2360358</v>
      </c>
      <c r="I8" s="7">
        <f>1718496+3218670</f>
        <v>4937166</v>
      </c>
      <c r="J8" s="7">
        <f>1145664+1907360</f>
        <v>3053024</v>
      </c>
      <c r="K8" s="7">
        <v>1764308</v>
      </c>
      <c r="L8" s="7">
        <f t="shared" si="1"/>
        <v>17273352</v>
      </c>
    </row>
    <row r="9" spans="1:12">
      <c r="A9" s="5" t="s">
        <v>31</v>
      </c>
      <c r="B9" s="6" t="s">
        <v>32</v>
      </c>
      <c r="C9" s="7">
        <v>1370000000</v>
      </c>
      <c r="D9" s="7"/>
      <c r="E9" s="7">
        <f t="shared" si="0"/>
        <v>1370000000</v>
      </c>
      <c r="F9" s="7">
        <v>168974236</v>
      </c>
      <c r="G9" s="7">
        <v>124897552</v>
      </c>
      <c r="H9" s="7">
        <v>147062854</v>
      </c>
      <c r="I9" s="7">
        <f>164111067-61601470</f>
        <v>102509597</v>
      </c>
      <c r="J9" s="7">
        <v>77546228</v>
      </c>
      <c r="K9" s="7">
        <f>152422783-60177686+60000000</f>
        <v>152245097</v>
      </c>
      <c r="L9" s="7">
        <f t="shared" si="1"/>
        <v>773235564</v>
      </c>
    </row>
    <row r="10" spans="1:12">
      <c r="A10" s="5" t="s">
        <v>33</v>
      </c>
      <c r="B10" s="6" t="s">
        <v>34</v>
      </c>
      <c r="C10" s="7">
        <v>22000000</v>
      </c>
      <c r="D10" s="7"/>
      <c r="E10" s="7">
        <f t="shared" si="0"/>
        <v>22000000</v>
      </c>
      <c r="F10" s="7">
        <f>1276340</f>
        <v>1276340</v>
      </c>
      <c r="G10" s="7">
        <v>1172875</v>
      </c>
      <c r="H10" s="7">
        <f>1115285</f>
        <v>1115285</v>
      </c>
      <c r="I10" s="7">
        <v>1273145</v>
      </c>
      <c r="J10" s="7">
        <v>1244535</v>
      </c>
      <c r="K10" s="7">
        <v>1430500</v>
      </c>
      <c r="L10" s="7">
        <f t="shared" si="1"/>
        <v>7512680</v>
      </c>
    </row>
    <row r="11" spans="1:12">
      <c r="A11" s="5" t="s">
        <v>35</v>
      </c>
      <c r="B11" s="6" t="s">
        <v>36</v>
      </c>
      <c r="C11" s="7">
        <v>32000000</v>
      </c>
      <c r="D11" s="7"/>
      <c r="E11" s="7">
        <f t="shared" si="0"/>
        <v>32000000</v>
      </c>
      <c r="F11" s="7">
        <v>1602830</v>
      </c>
      <c r="G11" s="7">
        <v>1616465</v>
      </c>
      <c r="H11" s="7">
        <v>1615960</v>
      </c>
      <c r="I11" s="7">
        <v>1888260</v>
      </c>
      <c r="J11" s="7">
        <v>1702295</v>
      </c>
      <c r="K11" s="7">
        <v>2288800</v>
      </c>
      <c r="L11" s="7">
        <f t="shared" si="1"/>
        <v>10714610</v>
      </c>
    </row>
    <row r="12" spans="1:12">
      <c r="A12" s="5" t="s">
        <v>37</v>
      </c>
      <c r="B12" s="6" t="s">
        <v>38</v>
      </c>
      <c r="C12" s="7">
        <v>75000000</v>
      </c>
      <c r="D12" s="7"/>
      <c r="E12" s="7">
        <f t="shared" si="0"/>
        <v>75000000</v>
      </c>
      <c r="F12" s="7">
        <v>9232592</v>
      </c>
      <c r="G12" s="7">
        <v>10354430</v>
      </c>
      <c r="H12" s="7">
        <v>17386948</v>
      </c>
      <c r="I12" s="7">
        <v>7022940</v>
      </c>
      <c r="J12" s="7">
        <v>5331174</v>
      </c>
      <c r="K12" s="7">
        <v>10948872</v>
      </c>
      <c r="L12" s="7">
        <f t="shared" si="1"/>
        <v>60276956</v>
      </c>
    </row>
    <row r="13" spans="1:12">
      <c r="A13" s="5" t="s">
        <v>39</v>
      </c>
      <c r="B13" s="6" t="s">
        <v>40</v>
      </c>
      <c r="C13" s="7">
        <v>4000000</v>
      </c>
      <c r="D13" s="7"/>
      <c r="E13" s="7">
        <f t="shared" si="0"/>
        <v>4000000</v>
      </c>
      <c r="F13" s="7">
        <v>897564</v>
      </c>
      <c r="G13" s="7">
        <v>654222</v>
      </c>
      <c r="H13" s="7">
        <v>546872</v>
      </c>
      <c r="I13" s="7">
        <v>702456</v>
      </c>
      <c r="J13" s="7">
        <v>594788</v>
      </c>
      <c r="K13" s="7">
        <v>284756</v>
      </c>
      <c r="L13" s="7">
        <f t="shared" si="1"/>
        <v>3680658</v>
      </c>
    </row>
    <row r="14" spans="1:12">
      <c r="A14" s="5" t="s">
        <v>41</v>
      </c>
      <c r="B14" s="6" t="s">
        <v>42</v>
      </c>
      <c r="C14" s="7">
        <v>450840000</v>
      </c>
      <c r="D14" s="7"/>
      <c r="E14" s="7">
        <f t="shared" si="0"/>
        <v>450840000</v>
      </c>
      <c r="F14" s="7">
        <v>58975624</v>
      </c>
      <c r="G14" s="7">
        <v>46592557</v>
      </c>
      <c r="H14" s="7">
        <v>18856244</v>
      </c>
      <c r="I14" s="7">
        <v>48745574</v>
      </c>
      <c r="J14" s="7">
        <v>37167781</v>
      </c>
      <c r="K14" s="7">
        <v>34261497</v>
      </c>
      <c r="L14" s="7">
        <f t="shared" si="1"/>
        <v>244599277</v>
      </c>
    </row>
    <row r="15" spans="1:12">
      <c r="A15" s="5" t="s">
        <v>43</v>
      </c>
      <c r="B15" s="6" t="s">
        <v>44</v>
      </c>
      <c r="C15" s="7">
        <v>5000000</v>
      </c>
      <c r="D15" s="7"/>
      <c r="E15" s="7">
        <f t="shared" si="0"/>
        <v>5000000</v>
      </c>
      <c r="F15" s="7">
        <v>261896</v>
      </c>
      <c r="G15" s="7">
        <v>341187</v>
      </c>
      <c r="H15" s="7">
        <v>422422</v>
      </c>
      <c r="I15" s="7">
        <v>308693</v>
      </c>
      <c r="J15" s="7">
        <v>406175</v>
      </c>
      <c r="K15" s="7">
        <v>438669</v>
      </c>
      <c r="L15" s="7">
        <f t="shared" si="1"/>
        <v>2179042</v>
      </c>
    </row>
    <row r="16" spans="1:12">
      <c r="A16" s="5" t="s">
        <v>45</v>
      </c>
      <c r="B16" s="6" t="s">
        <v>46</v>
      </c>
      <c r="C16" s="7">
        <v>870000000</v>
      </c>
      <c r="D16" s="7"/>
      <c r="E16" s="7">
        <f t="shared" si="0"/>
        <v>870000000</v>
      </c>
      <c r="F16" s="7">
        <v>69131176</v>
      </c>
      <c r="G16" s="7">
        <v>82764035</v>
      </c>
      <c r="H16" s="7">
        <f>82395219+6579916</f>
        <v>88975135</v>
      </c>
      <c r="I16" s="7">
        <v>57828934</v>
      </c>
      <c r="J16" s="7">
        <v>39289512</v>
      </c>
      <c r="K16" s="7">
        <v>55344292</v>
      </c>
      <c r="L16" s="7">
        <f t="shared" si="1"/>
        <v>393333084</v>
      </c>
    </row>
    <row r="17" spans="1:12">
      <c r="A17" s="5" t="s">
        <v>47</v>
      </c>
      <c r="B17" s="6" t="s">
        <v>48</v>
      </c>
      <c r="C17" s="7">
        <v>80000000</v>
      </c>
      <c r="D17" s="7"/>
      <c r="E17" s="7">
        <f t="shared" si="0"/>
        <v>80000000</v>
      </c>
      <c r="F17" s="7">
        <v>15789524</v>
      </c>
      <c r="G17" s="7">
        <v>10452226</v>
      </c>
      <c r="H17" s="7">
        <v>4756244</v>
      </c>
      <c r="I17" s="7">
        <v>42734288</v>
      </c>
      <c r="J17" s="7">
        <v>37937707</v>
      </c>
      <c r="K17" s="7">
        <v>33625569</v>
      </c>
      <c r="L17" s="7">
        <f t="shared" si="1"/>
        <v>145295558</v>
      </c>
    </row>
    <row r="18" spans="1:12">
      <c r="A18" s="5" t="s">
        <v>49</v>
      </c>
      <c r="B18" s="6" t="s">
        <v>50</v>
      </c>
      <c r="C18" s="7">
        <v>15000000</v>
      </c>
      <c r="D18" s="7"/>
      <c r="E18" s="7">
        <f t="shared" si="0"/>
        <v>15000000</v>
      </c>
      <c r="F18" s="7">
        <v>687524</v>
      </c>
      <c r="G18" s="7">
        <v>456882</v>
      </c>
      <c r="H18" s="7">
        <v>122358</v>
      </c>
      <c r="I18" s="7">
        <v>726923</v>
      </c>
      <c r="J18" s="7">
        <v>863758</v>
      </c>
      <c r="K18" s="7">
        <v>636000</v>
      </c>
      <c r="L18" s="7">
        <f t="shared" si="1"/>
        <v>3493445</v>
      </c>
    </row>
    <row r="19" spans="1:12">
      <c r="A19" s="5" t="s">
        <v>51</v>
      </c>
      <c r="B19" s="6" t="s">
        <v>52</v>
      </c>
      <c r="C19" s="7">
        <v>44000000</v>
      </c>
      <c r="D19" s="7"/>
      <c r="E19" s="7">
        <f t="shared" si="0"/>
        <v>44000000</v>
      </c>
      <c r="F19" s="7">
        <v>3970891</v>
      </c>
      <c r="G19" s="7">
        <v>2147966</v>
      </c>
      <c r="H19" s="7">
        <v>4548952</v>
      </c>
      <c r="I19" s="7">
        <f>4898025</f>
        <v>4898025</v>
      </c>
      <c r="J19" s="7">
        <f>4985101+10781</f>
        <v>4995882</v>
      </c>
      <c r="K19" s="7">
        <v>5725247</v>
      </c>
      <c r="L19" s="7">
        <f t="shared" si="1"/>
        <v>26286963</v>
      </c>
    </row>
    <row r="20" spans="1:12">
      <c r="A20" s="5" t="s">
        <v>53</v>
      </c>
      <c r="B20" s="6" t="s">
        <v>54</v>
      </c>
      <c r="C20" s="7">
        <v>67000000</v>
      </c>
      <c r="D20" s="7"/>
      <c r="E20" s="7">
        <f t="shared" si="0"/>
        <v>67000000</v>
      </c>
      <c r="F20" s="7">
        <v>6259743</v>
      </c>
      <c r="G20" s="7">
        <v>7254370</v>
      </c>
      <c r="H20" s="7">
        <v>14484489</v>
      </c>
      <c r="I20" s="7">
        <v>8334035</v>
      </c>
      <c r="J20" s="7">
        <v>7885844</v>
      </c>
      <c r="K20" s="7">
        <v>9920479</v>
      </c>
      <c r="L20" s="7">
        <f t="shared" si="1"/>
        <v>54138960</v>
      </c>
    </row>
    <row r="21" spans="1:12">
      <c r="A21" s="5" t="s">
        <v>55</v>
      </c>
      <c r="B21" s="6" t="s">
        <v>56</v>
      </c>
      <c r="C21" s="7">
        <v>3200000</v>
      </c>
      <c r="D21" s="7"/>
      <c r="E21" s="7">
        <f t="shared" si="0"/>
        <v>3200000</v>
      </c>
      <c r="F21" s="7">
        <v>94875</v>
      </c>
      <c r="G21" s="7">
        <v>66534</v>
      </c>
      <c r="H21" s="7">
        <v>58642</v>
      </c>
      <c r="I21" s="7">
        <v>1426335</v>
      </c>
      <c r="J21" s="7">
        <v>1022915</v>
      </c>
      <c r="K21" s="7">
        <f>399272+71147</f>
        <v>470419</v>
      </c>
      <c r="L21" s="7">
        <f t="shared" si="1"/>
        <v>3139720</v>
      </c>
    </row>
    <row r="22" spans="1:12">
      <c r="A22" s="5" t="s">
        <v>57</v>
      </c>
      <c r="B22" s="6" t="s">
        <v>58</v>
      </c>
      <c r="C22" s="7">
        <v>22000000</v>
      </c>
      <c r="D22" s="7"/>
      <c r="E22" s="7">
        <f t="shared" si="0"/>
        <v>22000000</v>
      </c>
      <c r="F22" s="7">
        <v>1745682</v>
      </c>
      <c r="G22" s="7">
        <v>1466558</v>
      </c>
      <c r="H22" s="7">
        <v>1568972</v>
      </c>
      <c r="I22" s="7">
        <v>2156894</v>
      </c>
      <c r="J22" s="7">
        <f>3045238</f>
        <v>3045238</v>
      </c>
      <c r="K22" s="7">
        <f>5777075</f>
        <v>5777075</v>
      </c>
      <c r="L22" s="7">
        <f t="shared" si="1"/>
        <v>15760419</v>
      </c>
    </row>
    <row r="23" spans="1:12">
      <c r="A23" s="5" t="s">
        <v>59</v>
      </c>
      <c r="B23" s="6" t="s">
        <v>60</v>
      </c>
      <c r="C23" s="7">
        <v>32000000</v>
      </c>
      <c r="D23" s="7"/>
      <c r="E23" s="7">
        <f t="shared" si="0"/>
        <v>32000000</v>
      </c>
      <c r="F23" s="7">
        <v>300246</v>
      </c>
      <c r="G23" s="7">
        <v>212388</v>
      </c>
      <c r="H23" s="7">
        <v>1652894</v>
      </c>
      <c r="I23" s="7">
        <v>985744</v>
      </c>
      <c r="J23" s="7">
        <v>1012458</v>
      </c>
      <c r="K23" s="7">
        <v>356874</v>
      </c>
      <c r="L23" s="7">
        <f t="shared" si="1"/>
        <v>4520604</v>
      </c>
    </row>
    <row r="24" spans="1:12">
      <c r="A24" s="5" t="s">
        <v>61</v>
      </c>
      <c r="B24" s="6" t="s">
        <v>62</v>
      </c>
      <c r="C24" s="7">
        <v>9000000</v>
      </c>
      <c r="D24" s="7"/>
      <c r="E24" s="7">
        <f t="shared" si="0"/>
        <v>9000000</v>
      </c>
      <c r="F24" s="7">
        <v>2035894</v>
      </c>
      <c r="G24" s="7">
        <v>1996454</v>
      </c>
      <c r="H24" s="7">
        <v>2569842</v>
      </c>
      <c r="I24" s="7">
        <v>3441155</v>
      </c>
      <c r="J24" s="7">
        <f>111623+2649021</f>
        <v>2760644</v>
      </c>
      <c r="K24" s="7">
        <f>2972253</f>
        <v>2972253</v>
      </c>
      <c r="L24" s="7">
        <f t="shared" si="1"/>
        <v>15776242</v>
      </c>
    </row>
    <row r="25" spans="1:12">
      <c r="A25" s="5" t="s">
        <v>63</v>
      </c>
      <c r="B25" s="6" t="s">
        <v>64</v>
      </c>
      <c r="C25" s="7">
        <v>1000000</v>
      </c>
      <c r="D25" s="7"/>
      <c r="E25" s="7">
        <f t="shared" si="0"/>
        <v>1000000</v>
      </c>
      <c r="F25" s="7">
        <v>0</v>
      </c>
      <c r="G25" s="7">
        <v>0</v>
      </c>
      <c r="H25" s="7">
        <v>0</v>
      </c>
      <c r="I25" s="7">
        <f>2061672+198496</f>
        <v>2260168</v>
      </c>
      <c r="J25" s="7">
        <f>97543+490494</f>
        <v>588037</v>
      </c>
      <c r="K25" s="7">
        <f>49909+777307+49909</f>
        <v>877125</v>
      </c>
      <c r="L25" s="7">
        <f t="shared" si="1"/>
        <v>3725330</v>
      </c>
    </row>
    <row r="26" spans="1:12">
      <c r="A26" s="5" t="s">
        <v>65</v>
      </c>
      <c r="B26" s="6" t="s">
        <v>66</v>
      </c>
      <c r="C26" s="7">
        <v>5000000</v>
      </c>
      <c r="D26" s="7"/>
      <c r="E26" s="7">
        <f t="shared" si="0"/>
        <v>5000000</v>
      </c>
      <c r="F26" s="7">
        <v>402586</v>
      </c>
      <c r="G26" s="7">
        <v>358794</v>
      </c>
      <c r="H26" s="7">
        <f>423278-84</f>
        <v>423194</v>
      </c>
      <c r="I26" s="7">
        <v>1685662</v>
      </c>
      <c r="J26" s="7">
        <v>1225936</v>
      </c>
      <c r="K26" s="7">
        <v>875824</v>
      </c>
      <c r="L26" s="7">
        <f t="shared" si="1"/>
        <v>4971996</v>
      </c>
    </row>
    <row r="27" spans="1:12">
      <c r="A27" s="5" t="s">
        <v>67</v>
      </c>
      <c r="B27" s="6" t="s">
        <v>68</v>
      </c>
      <c r="C27" s="7">
        <v>200000</v>
      </c>
      <c r="D27" s="7"/>
      <c r="E27" s="7">
        <f t="shared" si="0"/>
        <v>200000</v>
      </c>
      <c r="F27" s="7">
        <v>0</v>
      </c>
      <c r="G27" s="7">
        <v>0</v>
      </c>
      <c r="H27" s="7">
        <v>0</v>
      </c>
      <c r="I27" s="7">
        <v>0</v>
      </c>
      <c r="J27" s="7">
        <v>219975</v>
      </c>
      <c r="K27" s="7">
        <v>104875</v>
      </c>
      <c r="L27" s="7">
        <f t="shared" si="1"/>
        <v>324850</v>
      </c>
    </row>
    <row r="28" spans="1:12">
      <c r="A28" s="5" t="s">
        <v>69</v>
      </c>
      <c r="B28" s="6" t="s">
        <v>70</v>
      </c>
      <c r="C28" s="7">
        <v>3000000</v>
      </c>
      <c r="D28" s="7"/>
      <c r="E28" s="7">
        <f t="shared" si="0"/>
        <v>3000000</v>
      </c>
      <c r="F28" s="7">
        <v>0</v>
      </c>
      <c r="G28" s="7">
        <v>0</v>
      </c>
      <c r="H28" s="7">
        <v>0</v>
      </c>
      <c r="I28" s="7">
        <v>2061672</v>
      </c>
      <c r="J28" s="7">
        <v>2359639</v>
      </c>
      <c r="K28" s="7">
        <v>777307</v>
      </c>
      <c r="L28" s="7">
        <f t="shared" si="1"/>
        <v>5198618</v>
      </c>
    </row>
    <row r="29" spans="1:12">
      <c r="A29" s="5" t="s">
        <v>71</v>
      </c>
      <c r="B29" s="6" t="s">
        <v>72</v>
      </c>
      <c r="C29" s="7">
        <v>20000000</v>
      </c>
      <c r="D29" s="7"/>
      <c r="E29" s="7">
        <f t="shared" si="0"/>
        <v>20000000</v>
      </c>
      <c r="F29" s="7">
        <v>344628</v>
      </c>
      <c r="G29" s="7">
        <v>223471</v>
      </c>
      <c r="H29" s="7">
        <v>322412</v>
      </c>
      <c r="I29" s="7">
        <v>226788</v>
      </c>
      <c r="J29" s="7">
        <v>118454</v>
      </c>
      <c r="K29" s="7">
        <v>96874</v>
      </c>
      <c r="L29" s="7">
        <f t="shared" si="1"/>
        <v>1332627</v>
      </c>
    </row>
    <row r="30" spans="1:12">
      <c r="A30" s="5" t="s">
        <v>73</v>
      </c>
      <c r="B30" s="6" t="s">
        <v>74</v>
      </c>
      <c r="C30" s="7">
        <v>7800000</v>
      </c>
      <c r="D30" s="7"/>
      <c r="E30" s="7">
        <f t="shared" si="0"/>
        <v>7800000</v>
      </c>
      <c r="F30" s="7">
        <v>784566</v>
      </c>
      <c r="G30" s="7">
        <v>654882</v>
      </c>
      <c r="H30" s="7">
        <v>752685</v>
      </c>
      <c r="I30" s="7">
        <v>470682</v>
      </c>
      <c r="J30" s="7">
        <v>551524</v>
      </c>
      <c r="K30" s="7">
        <v>265478</v>
      </c>
      <c r="L30" s="7">
        <f t="shared" si="1"/>
        <v>3479817</v>
      </c>
    </row>
    <row r="31" spans="1:12">
      <c r="A31" s="5" t="s">
        <v>75</v>
      </c>
      <c r="B31" s="6" t="s">
        <v>76</v>
      </c>
      <c r="C31" s="7">
        <v>100000</v>
      </c>
      <c r="D31" s="7"/>
      <c r="E31" s="7">
        <f t="shared" si="0"/>
        <v>100000</v>
      </c>
      <c r="F31" s="7">
        <v>0</v>
      </c>
      <c r="G31" s="7">
        <v>0</v>
      </c>
      <c r="H31" s="7">
        <v>0</v>
      </c>
      <c r="I31" s="7">
        <v>245409</v>
      </c>
      <c r="J31" s="7">
        <v>0</v>
      </c>
      <c r="K31" s="7">
        <v>0</v>
      </c>
      <c r="L31" s="7">
        <f t="shared" si="1"/>
        <v>245409</v>
      </c>
    </row>
    <row r="32" spans="1:12">
      <c r="A32" s="5" t="s">
        <v>77</v>
      </c>
      <c r="B32" s="6" t="s">
        <v>78</v>
      </c>
      <c r="C32" s="7">
        <v>3000000</v>
      </c>
      <c r="D32" s="7"/>
      <c r="E32" s="7">
        <f t="shared" si="0"/>
        <v>3000000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f t="shared" si="1"/>
        <v>0</v>
      </c>
    </row>
    <row r="33" spans="1:12">
      <c r="A33" s="5" t="s">
        <v>79</v>
      </c>
      <c r="B33" s="6" t="s">
        <v>80</v>
      </c>
      <c r="C33" s="7">
        <v>2000000</v>
      </c>
      <c r="D33" s="7"/>
      <c r="E33" s="7">
        <f t="shared" si="0"/>
        <v>2000000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 t="shared" si="1"/>
        <v>0</v>
      </c>
    </row>
    <row r="34" spans="1:12">
      <c r="A34" s="5" t="s">
        <v>81</v>
      </c>
      <c r="B34" s="6" t="s">
        <v>82</v>
      </c>
      <c r="C34" s="7">
        <v>91000000</v>
      </c>
      <c r="D34" s="7"/>
      <c r="E34" s="7">
        <f t="shared" si="0"/>
        <v>91000000</v>
      </c>
      <c r="F34" s="7">
        <v>3922362</v>
      </c>
      <c r="G34" s="7">
        <v>8131527</v>
      </c>
      <c r="H34" s="7">
        <v>4366585</v>
      </c>
      <c r="I34" s="7">
        <v>611388</v>
      </c>
      <c r="J34" s="7">
        <v>2233879</v>
      </c>
      <c r="K34" s="7">
        <v>11549829</v>
      </c>
      <c r="L34" s="7">
        <f t="shared" si="1"/>
        <v>30815570</v>
      </c>
    </row>
    <row r="35" spans="1:12">
      <c r="A35" s="5" t="s">
        <v>83</v>
      </c>
      <c r="B35" s="6" t="s">
        <v>84</v>
      </c>
      <c r="C35" s="7">
        <v>23000000</v>
      </c>
      <c r="D35" s="7"/>
      <c r="E35" s="7">
        <f t="shared" si="0"/>
        <v>23000000</v>
      </c>
      <c r="F35" s="7">
        <v>2081032</v>
      </c>
      <c r="G35" s="7">
        <v>1725976</v>
      </c>
      <c r="H35" s="7">
        <v>1748476</v>
      </c>
      <c r="I35" s="7">
        <v>2052512</v>
      </c>
      <c r="J35" s="7">
        <v>2005864</v>
      </c>
      <c r="K35" s="7">
        <v>2309076</v>
      </c>
      <c r="L35" s="7">
        <f t="shared" si="1"/>
        <v>11922936</v>
      </c>
    </row>
    <row r="36" spans="1:12">
      <c r="A36" s="5" t="s">
        <v>85</v>
      </c>
      <c r="B36" s="6" t="s">
        <v>86</v>
      </c>
      <c r="C36" s="7">
        <v>15000000</v>
      </c>
      <c r="D36" s="7"/>
      <c r="E36" s="7">
        <f t="shared" si="0"/>
        <v>15000000</v>
      </c>
      <c r="F36" s="7">
        <v>819014</v>
      </c>
      <c r="G36" s="7">
        <v>895590</v>
      </c>
      <c r="H36" s="7">
        <f>1897324+175000</f>
        <v>2072324</v>
      </c>
      <c r="I36" s="7">
        <v>872371</v>
      </c>
      <c r="J36" s="7">
        <v>2544139</v>
      </c>
      <c r="K36" s="7">
        <v>3260611</v>
      </c>
      <c r="L36" s="7">
        <f t="shared" si="1"/>
        <v>10464049</v>
      </c>
    </row>
    <row r="37" spans="1:12">
      <c r="A37" s="5" t="s">
        <v>87</v>
      </c>
      <c r="B37" s="6" t="s">
        <v>88</v>
      </c>
      <c r="C37" s="7">
        <v>89600000</v>
      </c>
      <c r="D37" s="7"/>
      <c r="E37" s="7">
        <f t="shared" si="0"/>
        <v>89600000</v>
      </c>
      <c r="F37" s="7">
        <v>60658628</v>
      </c>
      <c r="G37" s="7">
        <v>59510829</v>
      </c>
      <c r="H37" s="7">
        <v>65847266</v>
      </c>
      <c r="I37" s="7">
        <v>38959374</v>
      </c>
      <c r="J37" s="7">
        <v>31139629</v>
      </c>
      <c r="K37" s="7">
        <v>54003856</v>
      </c>
      <c r="L37" s="7">
        <f t="shared" si="1"/>
        <v>310119582</v>
      </c>
    </row>
    <row r="38" spans="1:12">
      <c r="A38" s="5" t="s">
        <v>89</v>
      </c>
      <c r="B38" s="6" t="s">
        <v>90</v>
      </c>
      <c r="C38" s="7">
        <v>560000</v>
      </c>
      <c r="D38" s="7"/>
      <c r="E38" s="7">
        <f t="shared" si="0"/>
        <v>560000</v>
      </c>
      <c r="F38" s="7">
        <v>91522</v>
      </c>
      <c r="G38" s="7">
        <v>85644</v>
      </c>
      <c r="H38" s="7">
        <v>53905</v>
      </c>
      <c r="I38" s="7">
        <v>43124</v>
      </c>
      <c r="J38" s="7">
        <v>43124</v>
      </c>
      <c r="K38" s="7">
        <v>75467</v>
      </c>
      <c r="L38" s="7">
        <f t="shared" si="1"/>
        <v>392786</v>
      </c>
    </row>
    <row r="39" spans="1:12">
      <c r="A39" s="5" t="s">
        <v>91</v>
      </c>
      <c r="B39" s="6" t="s">
        <v>92</v>
      </c>
      <c r="C39" s="7">
        <v>2000000</v>
      </c>
      <c r="D39" s="7"/>
      <c r="E39" s="7">
        <f t="shared" si="0"/>
        <v>2000000</v>
      </c>
      <c r="F39" s="7">
        <v>28000</v>
      </c>
      <c r="G39" s="7">
        <v>14512</v>
      </c>
      <c r="H39" s="7">
        <v>290000</v>
      </c>
      <c r="I39" s="7">
        <v>304500</v>
      </c>
      <c r="J39" s="7">
        <v>261000</v>
      </c>
      <c r="K39" s="7">
        <v>43536</v>
      </c>
      <c r="L39" s="7">
        <f t="shared" si="1"/>
        <v>941548</v>
      </c>
    </row>
    <row r="40" spans="1:12">
      <c r="A40" s="5" t="s">
        <v>93</v>
      </c>
      <c r="B40" s="6" t="s">
        <v>94</v>
      </c>
      <c r="C40" s="7">
        <v>100000</v>
      </c>
      <c r="D40" s="7"/>
      <c r="E40" s="7">
        <f t="shared" si="0"/>
        <v>100000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/>
      <c r="L40" s="7">
        <f t="shared" si="1"/>
        <v>0</v>
      </c>
    </row>
    <row r="41" spans="1:12">
      <c r="A41" s="5" t="s">
        <v>95</v>
      </c>
      <c r="B41" s="6" t="s">
        <v>96</v>
      </c>
      <c r="C41" s="7">
        <v>2000000</v>
      </c>
      <c r="D41" s="7"/>
      <c r="E41" s="7">
        <f t="shared" si="0"/>
        <v>2000000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/>
      <c r="L41" s="7">
        <f t="shared" si="1"/>
        <v>0</v>
      </c>
    </row>
    <row r="42" spans="1:12">
      <c r="A42" s="5" t="s">
        <v>97</v>
      </c>
      <c r="B42" s="6" t="s">
        <v>98</v>
      </c>
      <c r="C42" s="7">
        <v>13000000</v>
      </c>
      <c r="D42" s="7"/>
      <c r="E42" s="7">
        <f t="shared" si="0"/>
        <v>13000000</v>
      </c>
      <c r="F42" s="7">
        <v>1246972</v>
      </c>
      <c r="G42" s="7">
        <v>998426</v>
      </c>
      <c r="H42" s="7">
        <v>1158746</v>
      </c>
      <c r="I42" s="7">
        <v>1547988</v>
      </c>
      <c r="J42" s="7">
        <v>1193506</v>
      </c>
      <c r="K42" s="7">
        <v>895169</v>
      </c>
      <c r="L42" s="7">
        <f t="shared" si="1"/>
        <v>7040807</v>
      </c>
    </row>
    <row r="43" spans="1:12">
      <c r="A43" s="5" t="s">
        <v>99</v>
      </c>
      <c r="B43" s="6" t="s">
        <v>100</v>
      </c>
      <c r="C43" s="7">
        <v>2000000</v>
      </c>
      <c r="D43" s="7"/>
      <c r="E43" s="7">
        <f t="shared" si="0"/>
        <v>2000000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/>
      <c r="L43" s="7">
        <f t="shared" si="1"/>
        <v>0</v>
      </c>
    </row>
    <row r="44" spans="1:12">
      <c r="A44" s="5" t="s">
        <v>101</v>
      </c>
      <c r="B44" s="6" t="s">
        <v>102</v>
      </c>
      <c r="C44" s="7">
        <v>2000000</v>
      </c>
      <c r="D44" s="7"/>
      <c r="E44" s="7">
        <f t="shared" si="0"/>
        <v>2000000</v>
      </c>
      <c r="F44" s="7">
        <v>69842</v>
      </c>
      <c r="G44" s="7">
        <v>46552</v>
      </c>
      <c r="H44" s="7">
        <v>65822</v>
      </c>
      <c r="I44" s="7">
        <v>51482</v>
      </c>
      <c r="J44" s="7">
        <v>26542</v>
      </c>
      <c r="K44" s="7">
        <v>38456</v>
      </c>
      <c r="L44" s="7">
        <f t="shared" si="1"/>
        <v>298696</v>
      </c>
    </row>
    <row r="45" spans="1:12">
      <c r="A45" s="5" t="s">
        <v>103</v>
      </c>
      <c r="B45" s="6" t="s">
        <v>104</v>
      </c>
      <c r="C45" s="7">
        <v>15000000</v>
      </c>
      <c r="D45" s="7"/>
      <c r="E45" s="7">
        <f t="shared" si="0"/>
        <v>15000000</v>
      </c>
      <c r="F45" s="7">
        <v>2456844</v>
      </c>
      <c r="G45" s="7">
        <v>1652344</v>
      </c>
      <c r="H45" s="7">
        <v>1344342</v>
      </c>
      <c r="I45" s="7">
        <v>1578104</v>
      </c>
      <c r="J45" s="7">
        <v>1542238</v>
      </c>
      <c r="K45" s="7">
        <v>1775367</v>
      </c>
      <c r="L45" s="7">
        <f t="shared" si="1"/>
        <v>10349239</v>
      </c>
    </row>
    <row r="46" spans="1:12">
      <c r="A46" s="5" t="s">
        <v>105</v>
      </c>
      <c r="B46" s="6" t="s">
        <v>106</v>
      </c>
      <c r="C46" s="7">
        <v>14600000</v>
      </c>
      <c r="D46" s="7"/>
      <c r="E46" s="7">
        <f t="shared" si="0"/>
        <v>14600000</v>
      </c>
      <c r="F46" s="7">
        <v>1985462</v>
      </c>
      <c r="G46" s="7">
        <v>1389124</v>
      </c>
      <c r="H46" s="7">
        <v>1564228</v>
      </c>
      <c r="I46" s="7">
        <v>467892</v>
      </c>
      <c r="J46" s="7">
        <v>358974</v>
      </c>
      <c r="K46" s="7">
        <f>445876+87660</f>
        <v>533536</v>
      </c>
      <c r="L46" s="7">
        <f t="shared" si="1"/>
        <v>6299216</v>
      </c>
    </row>
    <row r="47" spans="1:12">
      <c r="A47" s="9"/>
      <c r="B47" s="10" t="s">
        <v>107</v>
      </c>
      <c r="C47" s="11">
        <f t="shared" ref="C47:K47" si="2">SUM(C4:C46)</f>
        <v>7263000000</v>
      </c>
      <c r="D47" s="11">
        <f t="shared" si="2"/>
        <v>0</v>
      </c>
      <c r="E47" s="11">
        <f>+C47+D47</f>
        <v>7263000000</v>
      </c>
      <c r="F47" s="11">
        <f t="shared" si="2"/>
        <v>603527186</v>
      </c>
      <c r="G47" s="11">
        <f t="shared" si="2"/>
        <v>541221545</v>
      </c>
      <c r="H47" s="11">
        <f t="shared" si="2"/>
        <v>588458981</v>
      </c>
      <c r="I47" s="11">
        <f t="shared" si="2"/>
        <v>533318447</v>
      </c>
      <c r="J47" s="11">
        <f t="shared" si="2"/>
        <v>893601095</v>
      </c>
      <c r="K47" s="11">
        <f t="shared" si="2"/>
        <v>657136837</v>
      </c>
      <c r="L47" s="11">
        <f>SUM(L4:L46)</f>
        <v>3817264091</v>
      </c>
    </row>
    <row r="48" spans="1:12">
      <c r="A48" s="1">
        <v>2</v>
      </c>
      <c r="B48" s="43" t="s">
        <v>108</v>
      </c>
      <c r="C48" s="7"/>
      <c r="D48" s="7"/>
      <c r="E48" s="7"/>
      <c r="F48" s="33"/>
      <c r="G48" s="33"/>
      <c r="H48" s="33"/>
      <c r="I48" s="33"/>
      <c r="J48" s="33"/>
      <c r="K48" s="33"/>
      <c r="L48" s="7"/>
    </row>
    <row r="49" spans="1:12">
      <c r="A49" s="1">
        <v>2.1</v>
      </c>
      <c r="B49" s="2" t="s">
        <v>109</v>
      </c>
      <c r="C49" s="71">
        <v>0</v>
      </c>
      <c r="D49" s="71"/>
      <c r="E49" s="71">
        <f t="shared" ref="E49:E58" si="3">+C49+D49</f>
        <v>0</v>
      </c>
      <c r="F49" s="33"/>
      <c r="G49" s="33"/>
      <c r="H49" s="33"/>
      <c r="I49" s="33"/>
      <c r="J49" s="33"/>
      <c r="K49" s="33"/>
      <c r="L49" s="7">
        <f t="shared" ref="L49:L56" si="4">F49+G49+H49+I49+J49+K49</f>
        <v>0</v>
      </c>
    </row>
    <row r="50" spans="1:12">
      <c r="A50" s="1">
        <v>2.2000000000000002</v>
      </c>
      <c r="B50" s="2" t="s">
        <v>110</v>
      </c>
      <c r="C50" s="71">
        <v>200000000</v>
      </c>
      <c r="D50" s="71">
        <v>2079817986</v>
      </c>
      <c r="E50" s="71">
        <f t="shared" si="3"/>
        <v>2279817986</v>
      </c>
      <c r="F50" s="33"/>
      <c r="G50" s="33"/>
      <c r="H50" s="33"/>
      <c r="I50" s="33"/>
      <c r="J50" s="33"/>
      <c r="K50" s="7">
        <v>2079817986</v>
      </c>
      <c r="L50" s="7">
        <f t="shared" si="4"/>
        <v>2079817986</v>
      </c>
    </row>
    <row r="51" spans="1:12">
      <c r="A51" s="1">
        <v>2.2999999999999998</v>
      </c>
      <c r="B51" s="2" t="s">
        <v>111</v>
      </c>
      <c r="C51" s="71">
        <v>2500000000</v>
      </c>
      <c r="D51" s="71"/>
      <c r="E51" s="71">
        <f t="shared" si="3"/>
        <v>2500000000</v>
      </c>
      <c r="F51" s="33"/>
      <c r="G51" s="33"/>
      <c r="H51" s="33"/>
      <c r="I51" s="33"/>
      <c r="J51" s="33"/>
      <c r="K51" s="33"/>
      <c r="L51" s="7">
        <f t="shared" si="4"/>
        <v>0</v>
      </c>
    </row>
    <row r="52" spans="1:12">
      <c r="A52" s="5" t="s">
        <v>266</v>
      </c>
      <c r="B52" s="72" t="s">
        <v>267</v>
      </c>
      <c r="C52" s="7">
        <v>935000000</v>
      </c>
      <c r="D52" s="7"/>
      <c r="E52" s="7">
        <f t="shared" si="3"/>
        <v>935000000</v>
      </c>
      <c r="F52" s="7">
        <f>3639112+20286094+1223718+6934361+10546987</f>
        <v>42630272</v>
      </c>
      <c r="G52" s="7">
        <v>32804923</v>
      </c>
      <c r="H52" s="7">
        <f>3789958+20803713+217904+1234779+13000000+500000</f>
        <v>39546354</v>
      </c>
      <c r="I52" s="7">
        <v>37546659</v>
      </c>
      <c r="J52" s="7">
        <f>2547562+13834404+523052+2963940+20000000</f>
        <v>39868958</v>
      </c>
      <c r="K52" s="7">
        <f>49987546+180000000</f>
        <v>229987546</v>
      </c>
      <c r="L52" s="7">
        <f t="shared" si="4"/>
        <v>422384712</v>
      </c>
    </row>
    <row r="53" spans="1:12">
      <c r="A53" s="5" t="s">
        <v>268</v>
      </c>
      <c r="B53" s="72" t="s">
        <v>269</v>
      </c>
      <c r="C53" s="7">
        <v>145000000</v>
      </c>
      <c r="D53" s="7"/>
      <c r="E53" s="7">
        <f t="shared" si="3"/>
        <v>145000000</v>
      </c>
      <c r="F53" s="7">
        <v>17896524</v>
      </c>
      <c r="G53" s="7">
        <v>12489736</v>
      </c>
      <c r="H53" s="7">
        <v>16897452</v>
      </c>
      <c r="I53" s="7">
        <f>9582055+400000</f>
        <v>9982055</v>
      </c>
      <c r="J53" s="7">
        <v>20415874</v>
      </c>
      <c r="K53" s="7">
        <f>26142687+93915</f>
        <v>26236602</v>
      </c>
      <c r="L53" s="7">
        <f t="shared" si="4"/>
        <v>103918243</v>
      </c>
    </row>
    <row r="54" spans="1:12">
      <c r="A54" s="5" t="s">
        <v>270</v>
      </c>
      <c r="B54" s="72" t="s">
        <v>271</v>
      </c>
      <c r="C54" s="7">
        <v>190000000</v>
      </c>
      <c r="D54" s="7"/>
      <c r="E54" s="7">
        <f t="shared" si="3"/>
        <v>190000000</v>
      </c>
      <c r="F54" s="7">
        <v>23904329</v>
      </c>
      <c r="G54" s="7">
        <v>22287915</v>
      </c>
      <c r="H54" s="7">
        <v>25825365</v>
      </c>
      <c r="I54" s="7">
        <v>18702975</v>
      </c>
      <c r="J54" s="7">
        <v>20456874</v>
      </c>
      <c r="K54" s="7">
        <v>17685014</v>
      </c>
      <c r="L54" s="7">
        <f t="shared" si="4"/>
        <v>128862472</v>
      </c>
    </row>
    <row r="55" spans="1:12">
      <c r="A55" s="73" t="s">
        <v>272</v>
      </c>
      <c r="B55" s="72" t="s">
        <v>273</v>
      </c>
      <c r="C55" s="7">
        <v>635000000</v>
      </c>
      <c r="D55" s="7"/>
      <c r="E55" s="7">
        <f t="shared" si="3"/>
        <v>635000000</v>
      </c>
      <c r="F55" s="7">
        <v>15248633</v>
      </c>
      <c r="G55" s="7">
        <v>11425873</v>
      </c>
      <c r="H55" s="7">
        <v>19895634</v>
      </c>
      <c r="I55" s="7">
        <v>21452854</v>
      </c>
      <c r="J55" s="7">
        <v>24897566</v>
      </c>
      <c r="K55" s="7">
        <v>18754624</v>
      </c>
      <c r="L55" s="7">
        <f t="shared" si="4"/>
        <v>111675184</v>
      </c>
    </row>
    <row r="56" spans="1:12">
      <c r="A56" s="5" t="s">
        <v>274</v>
      </c>
      <c r="B56" s="72" t="s">
        <v>275</v>
      </c>
      <c r="C56" s="7">
        <v>595000000</v>
      </c>
      <c r="D56" s="7"/>
      <c r="E56" s="7">
        <f t="shared" si="3"/>
        <v>595000000</v>
      </c>
      <c r="F56" s="7">
        <f>14456822+725438</f>
        <v>15182260</v>
      </c>
      <c r="G56" s="7">
        <v>10486322</v>
      </c>
      <c r="H56" s="7">
        <v>18789412</v>
      </c>
      <c r="I56" s="7">
        <v>19546428</v>
      </c>
      <c r="J56" s="7">
        <v>21457846</v>
      </c>
      <c r="K56" s="7">
        <v>21589722</v>
      </c>
      <c r="L56" s="7">
        <f t="shared" si="4"/>
        <v>107051990</v>
      </c>
    </row>
    <row r="57" spans="1:12">
      <c r="A57" s="1">
        <v>2.4</v>
      </c>
      <c r="B57" s="2" t="s">
        <v>112</v>
      </c>
      <c r="C57" s="71">
        <v>6000000</v>
      </c>
      <c r="D57" s="71"/>
      <c r="E57" s="71">
        <f t="shared" si="3"/>
        <v>6000000</v>
      </c>
      <c r="F57" s="7"/>
      <c r="G57" s="7"/>
      <c r="H57" s="7"/>
      <c r="I57" s="7"/>
      <c r="J57" s="7"/>
      <c r="K57" s="7"/>
      <c r="L57" s="7">
        <f t="shared" ref="L57:L58" si="5">F57+G57+H57+I57+J57</f>
        <v>0</v>
      </c>
    </row>
    <row r="58" spans="1:12">
      <c r="A58" s="1">
        <v>2.5</v>
      </c>
      <c r="B58" s="2" t="s">
        <v>113</v>
      </c>
      <c r="C58" s="71">
        <v>1000000</v>
      </c>
      <c r="D58" s="71"/>
      <c r="E58" s="71">
        <f t="shared" si="3"/>
        <v>1000000</v>
      </c>
      <c r="F58" s="7"/>
      <c r="G58" s="7"/>
      <c r="H58" s="7"/>
      <c r="I58" s="7"/>
      <c r="J58" s="7"/>
      <c r="K58" s="7"/>
      <c r="L58" s="7">
        <f t="shared" si="5"/>
        <v>0</v>
      </c>
    </row>
    <row r="59" spans="1:12">
      <c r="A59" s="9"/>
      <c r="B59" s="10" t="s">
        <v>114</v>
      </c>
      <c r="C59" s="11">
        <f>C50+C51+C57+C58</f>
        <v>2707000000</v>
      </c>
      <c r="D59" s="11">
        <f t="shared" ref="D59:J59" si="6">D52+D53+D54+D55+D56+D57+D58</f>
        <v>0</v>
      </c>
      <c r="E59" s="11">
        <f>+C59+D59</f>
        <v>2707000000</v>
      </c>
      <c r="F59" s="11">
        <f t="shared" si="6"/>
        <v>114862018</v>
      </c>
      <c r="G59" s="11">
        <f t="shared" si="6"/>
        <v>89494769</v>
      </c>
      <c r="H59" s="11">
        <f t="shared" si="6"/>
        <v>120954217</v>
      </c>
      <c r="I59" s="11">
        <f t="shared" si="6"/>
        <v>107230971</v>
      </c>
      <c r="J59" s="11">
        <f t="shared" si="6"/>
        <v>127097118</v>
      </c>
      <c r="K59" s="11">
        <f>SUM(K49:K58)</f>
        <v>2394071494</v>
      </c>
      <c r="L59" s="11">
        <f>SUM(L49:L58)</f>
        <v>2953710587</v>
      </c>
    </row>
    <row r="60" spans="1:12" ht="15.75">
      <c r="A60" s="104" t="s">
        <v>251</v>
      </c>
      <c r="B60" s="104"/>
      <c r="C60" s="45">
        <f t="shared" ref="C60:K60" si="7">C47+C59</f>
        <v>9970000000</v>
      </c>
      <c r="D60" s="45">
        <f t="shared" si="7"/>
        <v>0</v>
      </c>
      <c r="E60" s="45">
        <f>+E47+E50+E51+E57+E58</f>
        <v>12049817986</v>
      </c>
      <c r="F60" s="45">
        <f t="shared" si="7"/>
        <v>718389204</v>
      </c>
      <c r="G60" s="45">
        <f t="shared" si="7"/>
        <v>630716314</v>
      </c>
      <c r="H60" s="45">
        <f t="shared" si="7"/>
        <v>709413198</v>
      </c>
      <c r="I60" s="45">
        <f t="shared" si="7"/>
        <v>640549418</v>
      </c>
      <c r="J60" s="45">
        <f t="shared" si="7"/>
        <v>1020698213</v>
      </c>
      <c r="K60" s="45">
        <f t="shared" si="7"/>
        <v>3051208331</v>
      </c>
      <c r="L60" s="45">
        <f>L47+L59</f>
        <v>6770974678</v>
      </c>
    </row>
  </sheetData>
  <mergeCells count="13">
    <mergeCell ref="K1:K2"/>
    <mergeCell ref="L1:L2"/>
    <mergeCell ref="A1:A2"/>
    <mergeCell ref="B1:B2"/>
    <mergeCell ref="C1:C2"/>
    <mergeCell ref="D1:D2"/>
    <mergeCell ref="E1:E2"/>
    <mergeCell ref="F1:F2"/>
    <mergeCell ref="A60:B60"/>
    <mergeCell ref="G1:G2"/>
    <mergeCell ref="H1:H2"/>
    <mergeCell ref="I1:I2"/>
    <mergeCell ref="J1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3"/>
  <sheetViews>
    <sheetView tabSelected="1" topLeftCell="C67" workbookViewId="0">
      <selection activeCell="F90" sqref="F90"/>
    </sheetView>
  </sheetViews>
  <sheetFormatPr baseColWidth="10" defaultRowHeight="15"/>
  <cols>
    <col min="2" max="2" width="53.5703125" bestFit="1" customWidth="1"/>
    <col min="3" max="3" width="15.5703125" bestFit="1" customWidth="1"/>
    <col min="4" max="4" width="14.85546875" customWidth="1"/>
    <col min="5" max="5" width="14.140625" customWidth="1"/>
    <col min="6" max="6" width="18.28515625" customWidth="1"/>
    <col min="7" max="7" width="16.7109375" customWidth="1"/>
    <col min="8" max="8" width="14" customWidth="1"/>
    <col min="9" max="10" width="17.85546875" customWidth="1"/>
    <col min="11" max="11" width="18.5703125" customWidth="1"/>
    <col min="12" max="12" width="18.42578125" customWidth="1"/>
    <col min="13" max="13" width="17.85546875" customWidth="1"/>
    <col min="14" max="14" width="15.5703125" customWidth="1"/>
    <col min="15" max="15" width="16.85546875" customWidth="1"/>
  </cols>
  <sheetData>
    <row r="1" spans="1:15">
      <c r="A1" s="115" t="s">
        <v>3</v>
      </c>
      <c r="B1" s="115" t="s">
        <v>118</v>
      </c>
      <c r="C1" s="115" t="s">
        <v>276</v>
      </c>
      <c r="D1" s="117" t="s">
        <v>222</v>
      </c>
      <c r="E1" s="117"/>
      <c r="F1" s="115" t="s">
        <v>6</v>
      </c>
      <c r="G1" s="115" t="s">
        <v>277</v>
      </c>
      <c r="H1" s="115" t="s">
        <v>224</v>
      </c>
      <c r="I1" s="115" t="s">
        <v>225</v>
      </c>
      <c r="J1" s="115" t="s">
        <v>278</v>
      </c>
      <c r="K1" s="115" t="s">
        <v>279</v>
      </c>
      <c r="L1" s="115" t="s">
        <v>280</v>
      </c>
      <c r="M1" s="115" t="s">
        <v>281</v>
      </c>
      <c r="N1" s="115" t="s">
        <v>282</v>
      </c>
      <c r="O1" s="115" t="s">
        <v>283</v>
      </c>
    </row>
    <row r="2" spans="1:15">
      <c r="A2" s="116"/>
      <c r="B2" s="116"/>
      <c r="C2" s="116"/>
      <c r="D2" s="74" t="s">
        <v>136</v>
      </c>
      <c r="E2" s="74" t="s">
        <v>237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30" customHeight="1">
      <c r="A3" s="36"/>
      <c r="B3" s="65" t="s">
        <v>135</v>
      </c>
      <c r="C3" s="75"/>
      <c r="D3" s="33"/>
      <c r="E3" s="33"/>
      <c r="F3" s="75"/>
      <c r="G3" s="33"/>
      <c r="H3" s="76"/>
      <c r="I3" s="77"/>
      <c r="J3" s="77"/>
      <c r="K3" s="77"/>
      <c r="L3" s="77"/>
      <c r="M3" s="77"/>
      <c r="N3" s="33"/>
      <c r="O3" s="33"/>
    </row>
    <row r="4" spans="1:15">
      <c r="A4" s="33"/>
      <c r="B4" s="48" t="s">
        <v>138</v>
      </c>
      <c r="C4" s="49"/>
      <c r="D4" s="33"/>
      <c r="E4" s="33"/>
      <c r="F4" s="49"/>
      <c r="G4" s="33"/>
      <c r="H4" s="76"/>
      <c r="I4" s="77"/>
      <c r="J4" s="77"/>
      <c r="K4" s="77"/>
      <c r="L4" s="77"/>
      <c r="M4" s="77"/>
      <c r="N4" s="33"/>
      <c r="O4" s="33"/>
    </row>
    <row r="5" spans="1:15">
      <c r="A5" s="48">
        <v>30501</v>
      </c>
      <c r="B5" s="48" t="s">
        <v>139</v>
      </c>
      <c r="C5" s="49">
        <f>SUM(C6:C16)</f>
        <v>3313500000</v>
      </c>
      <c r="D5" s="49">
        <f>SUM(D6:D16)</f>
        <v>5000000</v>
      </c>
      <c r="E5" s="49">
        <f>SUM(E6:E16)</f>
        <v>89000000</v>
      </c>
      <c r="F5" s="49">
        <f>SUM(F6:F16)</f>
        <v>0</v>
      </c>
      <c r="G5" s="49">
        <f>SUM(G6:G16)</f>
        <v>3229500000</v>
      </c>
      <c r="H5" s="49">
        <f t="shared" ref="H5:O5" si="0">SUM(H6:H16)</f>
        <v>207052771</v>
      </c>
      <c r="I5" s="49">
        <f t="shared" si="0"/>
        <v>180217582</v>
      </c>
      <c r="J5" s="49">
        <f t="shared" si="0"/>
        <v>198987832</v>
      </c>
      <c r="K5" s="49">
        <f t="shared" si="0"/>
        <v>210510460</v>
      </c>
      <c r="L5" s="49">
        <f t="shared" si="0"/>
        <v>190245407</v>
      </c>
      <c r="M5" s="49">
        <f t="shared" si="0"/>
        <v>255430622</v>
      </c>
      <c r="N5" s="49">
        <f t="shared" si="0"/>
        <v>1242444674</v>
      </c>
      <c r="O5" s="50">
        <f t="shared" si="0"/>
        <v>1987055326</v>
      </c>
    </row>
    <row r="6" spans="1:15">
      <c r="A6" s="1">
        <v>30501180401</v>
      </c>
      <c r="B6" s="1" t="s">
        <v>140</v>
      </c>
      <c r="C6" s="78">
        <v>2475000000</v>
      </c>
      <c r="D6" s="33"/>
      <c r="E6" s="78">
        <v>60000000</v>
      </c>
      <c r="F6" s="78"/>
      <c r="G6" s="78">
        <f>C6+D6-E6+F6</f>
        <v>2415000000</v>
      </c>
      <c r="H6" s="78">
        <v>160328148</v>
      </c>
      <c r="I6" s="78">
        <v>157230498</v>
      </c>
      <c r="J6" s="78">
        <v>158937609</v>
      </c>
      <c r="K6" s="78">
        <f>7335153+151405450+47551</f>
        <v>158788154</v>
      </c>
      <c r="L6" s="78">
        <f>7374336+151375960+47551</f>
        <v>158797847</v>
      </c>
      <c r="M6" s="78">
        <v>222966722</v>
      </c>
      <c r="N6" s="79">
        <f>H6+I6+J6+K6+L6+M6</f>
        <v>1017048978</v>
      </c>
      <c r="O6" s="79">
        <f>G6-N6</f>
        <v>1397951022</v>
      </c>
    </row>
    <row r="7" spans="1:15">
      <c r="A7" s="1">
        <v>30501180402</v>
      </c>
      <c r="B7" s="1" t="s">
        <v>141</v>
      </c>
      <c r="C7" s="78">
        <v>200000000</v>
      </c>
      <c r="D7" s="33"/>
      <c r="E7" s="78"/>
      <c r="F7" s="78"/>
      <c r="G7" s="78">
        <f t="shared" ref="G7:G29" si="1">C7+D7-E7+F7</f>
        <v>200000000</v>
      </c>
      <c r="H7" s="78"/>
      <c r="I7" s="78"/>
      <c r="J7" s="80"/>
      <c r="K7" s="80"/>
      <c r="L7" s="80"/>
      <c r="M7" s="80"/>
      <c r="N7" s="79">
        <f t="shared" ref="N7:N29" si="2">H7+I7+J7+K7+L7+M7</f>
        <v>0</v>
      </c>
      <c r="O7" s="79">
        <f t="shared" ref="O7:O29" si="3">G7-N7</f>
        <v>200000000</v>
      </c>
    </row>
    <row r="8" spans="1:15">
      <c r="A8" s="1">
        <v>30501180403</v>
      </c>
      <c r="B8" s="1" t="s">
        <v>142</v>
      </c>
      <c r="C8" s="78">
        <v>115500000</v>
      </c>
      <c r="D8" s="33"/>
      <c r="E8" s="78"/>
      <c r="F8" s="78"/>
      <c r="G8" s="78">
        <f t="shared" si="1"/>
        <v>115500000</v>
      </c>
      <c r="H8" s="78">
        <v>20545017</v>
      </c>
      <c r="I8" s="78">
        <v>4337186</v>
      </c>
      <c r="J8" s="78">
        <v>5809862</v>
      </c>
      <c r="K8" s="78">
        <v>5239396</v>
      </c>
      <c r="L8" s="78">
        <v>5027959</v>
      </c>
      <c r="M8" s="78">
        <v>5057264</v>
      </c>
      <c r="N8" s="79">
        <f t="shared" si="2"/>
        <v>46016684</v>
      </c>
      <c r="O8" s="79">
        <f t="shared" si="3"/>
        <v>69483316</v>
      </c>
    </row>
    <row r="9" spans="1:15">
      <c r="A9" s="1">
        <v>30501180404</v>
      </c>
      <c r="B9" s="1" t="s">
        <v>143</v>
      </c>
      <c r="C9" s="78">
        <v>16500000</v>
      </c>
      <c r="D9" s="33"/>
      <c r="E9" s="78"/>
      <c r="F9" s="78"/>
      <c r="G9" s="78">
        <f t="shared" si="1"/>
        <v>16500000</v>
      </c>
      <c r="H9" s="78"/>
      <c r="I9" s="78"/>
      <c r="J9" s="78">
        <v>4336264</v>
      </c>
      <c r="K9" s="78"/>
      <c r="L9" s="78"/>
      <c r="M9" s="78">
        <v>1185146</v>
      </c>
      <c r="N9" s="79">
        <f t="shared" si="2"/>
        <v>5521410</v>
      </c>
      <c r="O9" s="79">
        <f t="shared" si="3"/>
        <v>10978590</v>
      </c>
    </row>
    <row r="10" spans="1:15">
      <c r="A10" s="1">
        <v>30501180405</v>
      </c>
      <c r="B10" s="1" t="s">
        <v>144</v>
      </c>
      <c r="C10" s="78">
        <v>6600000</v>
      </c>
      <c r="D10" s="33"/>
      <c r="E10" s="78">
        <v>4000000</v>
      </c>
      <c r="F10" s="78"/>
      <c r="G10" s="78">
        <f t="shared" si="1"/>
        <v>2600000</v>
      </c>
      <c r="H10" s="78">
        <v>74000</v>
      </c>
      <c r="I10" s="78">
        <v>74000</v>
      </c>
      <c r="J10" s="78">
        <v>19733</v>
      </c>
      <c r="K10" s="78">
        <v>74000</v>
      </c>
      <c r="L10" s="78">
        <v>74000</v>
      </c>
      <c r="M10" s="78"/>
      <c r="N10" s="79">
        <f t="shared" si="2"/>
        <v>315733</v>
      </c>
      <c r="O10" s="79">
        <f t="shared" si="3"/>
        <v>2284267</v>
      </c>
    </row>
    <row r="11" spans="1:15">
      <c r="A11" s="1">
        <v>30501180406</v>
      </c>
      <c r="B11" s="1" t="s">
        <v>145</v>
      </c>
      <c r="C11" s="78">
        <v>20000000</v>
      </c>
      <c r="D11" s="78">
        <v>5000000</v>
      </c>
      <c r="E11" s="78"/>
      <c r="F11" s="78"/>
      <c r="G11" s="78">
        <f t="shared" si="1"/>
        <v>25000000</v>
      </c>
      <c r="H11" s="78"/>
      <c r="I11" s="78"/>
      <c r="J11" s="78">
        <v>4195876</v>
      </c>
      <c r="K11" s="78">
        <v>20696056</v>
      </c>
      <c r="L11" s="78"/>
      <c r="M11" s="78"/>
      <c r="N11" s="79">
        <f t="shared" si="2"/>
        <v>24891932</v>
      </c>
      <c r="O11" s="79">
        <f t="shared" si="3"/>
        <v>108068</v>
      </c>
    </row>
    <row r="12" spans="1:15">
      <c r="A12" s="1">
        <v>30501180407</v>
      </c>
      <c r="B12" s="1" t="s">
        <v>146</v>
      </c>
      <c r="C12" s="78">
        <v>1000000</v>
      </c>
      <c r="D12" s="33"/>
      <c r="E12" s="78"/>
      <c r="F12" s="78"/>
      <c r="G12" s="78">
        <f t="shared" si="1"/>
        <v>1000000</v>
      </c>
      <c r="H12" s="78"/>
      <c r="I12" s="78"/>
      <c r="J12" s="78"/>
      <c r="K12" s="78"/>
      <c r="L12" s="78"/>
      <c r="M12" s="78"/>
      <c r="N12" s="79">
        <f t="shared" si="2"/>
        <v>0</v>
      </c>
      <c r="O12" s="79">
        <f t="shared" si="3"/>
        <v>1000000</v>
      </c>
    </row>
    <row r="13" spans="1:15">
      <c r="A13" s="1">
        <v>30501180408</v>
      </c>
      <c r="B13" s="1" t="s">
        <v>147</v>
      </c>
      <c r="C13" s="78">
        <v>275000000</v>
      </c>
      <c r="D13" s="33"/>
      <c r="E13" s="78"/>
      <c r="F13" s="78"/>
      <c r="G13" s="78">
        <f t="shared" si="1"/>
        <v>275000000</v>
      </c>
      <c r="H13" s="78">
        <v>22588376</v>
      </c>
      <c r="I13" s="78">
        <v>15135678</v>
      </c>
      <c r="J13" s="78">
        <v>18359840</v>
      </c>
      <c r="K13" s="78">
        <v>24333032</v>
      </c>
      <c r="L13" s="78">
        <v>23055284</v>
      </c>
      <c r="M13" s="78">
        <v>20846534</v>
      </c>
      <c r="N13" s="79">
        <f t="shared" si="2"/>
        <v>124318744</v>
      </c>
      <c r="O13" s="79">
        <f t="shared" si="3"/>
        <v>150681256</v>
      </c>
    </row>
    <row r="14" spans="1:15">
      <c r="A14" s="1">
        <v>30501180409</v>
      </c>
      <c r="B14" s="1" t="s">
        <v>148</v>
      </c>
      <c r="C14" s="78">
        <v>99000000</v>
      </c>
      <c r="D14" s="33"/>
      <c r="E14" s="78"/>
      <c r="F14" s="78"/>
      <c r="G14" s="78">
        <f t="shared" si="1"/>
        <v>99000000</v>
      </c>
      <c r="H14" s="78"/>
      <c r="I14" s="78"/>
      <c r="J14" s="78"/>
      <c r="K14" s="78"/>
      <c r="L14" s="78"/>
      <c r="M14" s="78"/>
      <c r="N14" s="79">
        <f t="shared" si="2"/>
        <v>0</v>
      </c>
      <c r="O14" s="79">
        <f t="shared" si="3"/>
        <v>99000000</v>
      </c>
    </row>
    <row r="15" spans="1:15">
      <c r="A15" s="1">
        <v>30501180410</v>
      </c>
      <c r="B15" s="1" t="s">
        <v>238</v>
      </c>
      <c r="C15" s="78">
        <v>88000000</v>
      </c>
      <c r="D15" s="33"/>
      <c r="E15" s="78">
        <v>20000000</v>
      </c>
      <c r="F15" s="78"/>
      <c r="G15" s="78">
        <f t="shared" si="1"/>
        <v>68000000</v>
      </c>
      <c r="H15" s="78">
        <v>2205843</v>
      </c>
      <c r="I15" s="78">
        <v>2889784</v>
      </c>
      <c r="J15" s="78">
        <v>6614926</v>
      </c>
      <c r="K15" s="78">
        <v>727510</v>
      </c>
      <c r="L15" s="78">
        <f>1012888+1652087</f>
        <v>2664975</v>
      </c>
      <c r="M15" s="78">
        <v>4740580</v>
      </c>
      <c r="N15" s="79">
        <f t="shared" si="2"/>
        <v>19843618</v>
      </c>
      <c r="O15" s="79">
        <f t="shared" si="3"/>
        <v>48156382</v>
      </c>
    </row>
    <row r="16" spans="1:15">
      <c r="A16" s="1">
        <v>30501180411</v>
      </c>
      <c r="B16" s="1" t="s">
        <v>239</v>
      </c>
      <c r="C16" s="78">
        <v>16900000</v>
      </c>
      <c r="D16" s="33"/>
      <c r="E16" s="78">
        <v>5000000</v>
      </c>
      <c r="F16" s="78"/>
      <c r="G16" s="78">
        <f t="shared" si="1"/>
        <v>11900000</v>
      </c>
      <c r="H16" s="78">
        <v>1311387</v>
      </c>
      <c r="I16" s="78">
        <v>550436</v>
      </c>
      <c r="J16" s="78">
        <v>713722</v>
      </c>
      <c r="K16" s="78">
        <v>652312</v>
      </c>
      <c r="L16" s="78">
        <v>625342</v>
      </c>
      <c r="M16" s="78">
        <v>634376</v>
      </c>
      <c r="N16" s="79">
        <f t="shared" si="2"/>
        <v>4487575</v>
      </c>
      <c r="O16" s="79">
        <f t="shared" si="3"/>
        <v>7412425</v>
      </c>
    </row>
    <row r="17" spans="1:15">
      <c r="A17" s="33"/>
      <c r="B17" s="48" t="s">
        <v>150</v>
      </c>
      <c r="C17" s="49">
        <f>SUM(C18:C21)</f>
        <v>999000000</v>
      </c>
      <c r="D17" s="49">
        <f>SUM(D18:D21)</f>
        <v>352000000</v>
      </c>
      <c r="E17" s="49">
        <f>SUM(E18:E21)</f>
        <v>0</v>
      </c>
      <c r="F17" s="49">
        <f>SUM(F18:F21)</f>
        <v>0</v>
      </c>
      <c r="G17" s="49">
        <f>SUM(G18:G21)</f>
        <v>1351000000</v>
      </c>
      <c r="H17" s="49">
        <f t="shared" ref="H17:O17" si="4">SUM(H18:H21)</f>
        <v>74731152</v>
      </c>
      <c r="I17" s="49">
        <f t="shared" si="4"/>
        <v>134739569</v>
      </c>
      <c r="J17" s="49">
        <f t="shared" si="4"/>
        <v>151600318</v>
      </c>
      <c r="K17" s="49">
        <f t="shared" si="4"/>
        <v>141682814</v>
      </c>
      <c r="L17" s="49">
        <f t="shared" si="4"/>
        <v>174434916</v>
      </c>
      <c r="M17" s="49">
        <f t="shared" si="4"/>
        <v>625617287</v>
      </c>
      <c r="N17" s="49">
        <f t="shared" si="4"/>
        <v>1302806056</v>
      </c>
      <c r="O17" s="49">
        <f t="shared" si="4"/>
        <v>48193944</v>
      </c>
    </row>
    <row r="18" spans="1:15">
      <c r="A18" s="1">
        <v>30501180413</v>
      </c>
      <c r="B18" s="1" t="s">
        <v>151</v>
      </c>
      <c r="C18" s="78">
        <v>455000000</v>
      </c>
      <c r="D18" s="33"/>
      <c r="E18" s="33"/>
      <c r="F18" s="78"/>
      <c r="G18" s="78">
        <f t="shared" si="1"/>
        <v>455000000</v>
      </c>
      <c r="H18" s="78"/>
      <c r="I18" s="78">
        <v>61500000</v>
      </c>
      <c r="J18" s="78">
        <v>94650904</v>
      </c>
      <c r="K18" s="78">
        <v>52950000</v>
      </c>
      <c r="L18" s="78">
        <v>136800000</v>
      </c>
      <c r="M18" s="78">
        <v>85100000</v>
      </c>
      <c r="N18" s="79">
        <f t="shared" si="2"/>
        <v>431000904</v>
      </c>
      <c r="O18" s="79">
        <f t="shared" si="3"/>
        <v>23999096</v>
      </c>
    </row>
    <row r="19" spans="1:15">
      <c r="A19" s="1">
        <v>30501180414</v>
      </c>
      <c r="B19" s="66" t="s">
        <v>152</v>
      </c>
      <c r="C19" s="78">
        <v>145000000</v>
      </c>
      <c r="D19" s="78">
        <f>112000000+220000000</f>
        <v>332000000</v>
      </c>
      <c r="E19" s="33"/>
      <c r="F19" s="78"/>
      <c r="G19" s="78">
        <f t="shared" si="1"/>
        <v>477000000</v>
      </c>
      <c r="H19" s="78">
        <v>74731152</v>
      </c>
      <c r="I19" s="78">
        <v>35617569</v>
      </c>
      <c r="J19" s="78">
        <v>33493414</v>
      </c>
      <c r="K19" s="78">
        <v>48216814</v>
      </c>
      <c r="L19" s="78">
        <v>23740952</v>
      </c>
      <c r="M19" s="78">
        <v>250979642</v>
      </c>
      <c r="N19" s="79">
        <f t="shared" si="2"/>
        <v>466779543</v>
      </c>
      <c r="O19" s="79">
        <f t="shared" si="3"/>
        <v>10220457</v>
      </c>
    </row>
    <row r="20" spans="1:15">
      <c r="A20" s="1">
        <v>30501180415</v>
      </c>
      <c r="B20" s="81" t="s">
        <v>284</v>
      </c>
      <c r="C20" s="78">
        <v>398000000</v>
      </c>
      <c r="D20" s="78">
        <v>20000000</v>
      </c>
      <c r="E20" s="33"/>
      <c r="F20" s="78"/>
      <c r="G20" s="78">
        <f t="shared" si="1"/>
        <v>418000000</v>
      </c>
      <c r="H20" s="78"/>
      <c r="I20" s="78">
        <v>37622000</v>
      </c>
      <c r="J20" s="78">
        <v>23456000</v>
      </c>
      <c r="K20" s="78">
        <v>40516000</v>
      </c>
      <c r="L20" s="78">
        <v>13893964</v>
      </c>
      <c r="M20" s="78">
        <v>289537645</v>
      </c>
      <c r="N20" s="79">
        <f t="shared" si="2"/>
        <v>405025609</v>
      </c>
      <c r="O20" s="79">
        <f t="shared" si="3"/>
        <v>12974391</v>
      </c>
    </row>
    <row r="21" spans="1:15">
      <c r="A21" s="1" t="s">
        <v>285</v>
      </c>
      <c r="B21" s="1" t="s">
        <v>153</v>
      </c>
      <c r="C21" s="78">
        <v>1000000</v>
      </c>
      <c r="D21" s="33"/>
      <c r="E21" s="33"/>
      <c r="F21" s="78"/>
      <c r="G21" s="78">
        <f t="shared" si="1"/>
        <v>1000000</v>
      </c>
      <c r="H21" s="78"/>
      <c r="I21" s="78"/>
      <c r="J21" s="78"/>
      <c r="K21" s="78"/>
      <c r="L21" s="78"/>
      <c r="M21" s="78"/>
      <c r="N21" s="79">
        <f t="shared" si="2"/>
        <v>0</v>
      </c>
      <c r="O21" s="79">
        <f t="shared" si="3"/>
        <v>1000000</v>
      </c>
    </row>
    <row r="22" spans="1:15">
      <c r="A22" s="33"/>
      <c r="B22" s="48" t="s">
        <v>154</v>
      </c>
      <c r="C22" s="49">
        <f>SUM(C23)</f>
        <v>110000000</v>
      </c>
      <c r="D22" s="49">
        <f>SUM(D23)</f>
        <v>0</v>
      </c>
      <c r="E22" s="49">
        <f>SUM(E23)</f>
        <v>0</v>
      </c>
      <c r="F22" s="49">
        <f>SUM(F23)</f>
        <v>0</v>
      </c>
      <c r="G22" s="49">
        <f>SUM(G23)</f>
        <v>110000000</v>
      </c>
      <c r="H22" s="49">
        <f t="shared" ref="H22:O22" si="5">SUM(H23)</f>
        <v>9562342</v>
      </c>
      <c r="I22" s="49">
        <f t="shared" si="5"/>
        <v>9352648</v>
      </c>
      <c r="J22" s="49">
        <f t="shared" si="5"/>
        <v>8564288</v>
      </c>
      <c r="K22" s="49">
        <f t="shared" si="5"/>
        <v>9124588</v>
      </c>
      <c r="L22" s="49">
        <f t="shared" si="5"/>
        <v>8495623</v>
      </c>
      <c r="M22" s="49">
        <f t="shared" si="5"/>
        <v>0</v>
      </c>
      <c r="N22" s="49">
        <f t="shared" si="5"/>
        <v>45099489</v>
      </c>
      <c r="O22" s="50">
        <f t="shared" si="5"/>
        <v>64900511</v>
      </c>
    </row>
    <row r="23" spans="1:15">
      <c r="A23" s="1">
        <v>30501180416</v>
      </c>
      <c r="B23" s="66" t="s">
        <v>155</v>
      </c>
      <c r="C23" s="78">
        <v>110000000</v>
      </c>
      <c r="D23" s="33"/>
      <c r="E23" s="33"/>
      <c r="F23" s="78"/>
      <c r="G23" s="78">
        <f t="shared" si="1"/>
        <v>110000000</v>
      </c>
      <c r="H23" s="78">
        <v>9562342</v>
      </c>
      <c r="I23" s="78">
        <v>9352648</v>
      </c>
      <c r="J23" s="78">
        <v>8564288</v>
      </c>
      <c r="K23" s="78">
        <v>9124588</v>
      </c>
      <c r="L23" s="78">
        <v>8495623</v>
      </c>
      <c r="M23" s="78"/>
      <c r="N23" s="79">
        <f t="shared" si="2"/>
        <v>45099489</v>
      </c>
      <c r="O23" s="79">
        <f t="shared" si="3"/>
        <v>64900511</v>
      </c>
    </row>
    <row r="24" spans="1:15">
      <c r="A24" s="33"/>
      <c r="B24" s="48" t="s">
        <v>154</v>
      </c>
      <c r="C24" s="49">
        <f>SUM(C25:C29)</f>
        <v>854700000</v>
      </c>
      <c r="D24" s="49">
        <f>SUM(D25:D29)</f>
        <v>0</v>
      </c>
      <c r="E24" s="49">
        <f>SUM(E25:E29)</f>
        <v>0</v>
      </c>
      <c r="F24" s="49">
        <f>SUM(F25:F29)</f>
        <v>0</v>
      </c>
      <c r="G24" s="49">
        <f>SUM(G25:G29)</f>
        <v>854700000</v>
      </c>
      <c r="H24" s="49">
        <f t="shared" ref="H24:O24" si="6">SUM(H25:H29)</f>
        <v>59547967</v>
      </c>
      <c r="I24" s="49">
        <f t="shared" si="6"/>
        <v>58451689</v>
      </c>
      <c r="J24" s="49">
        <f t="shared" si="6"/>
        <v>57731322</v>
      </c>
      <c r="K24" s="49">
        <f t="shared" si="6"/>
        <v>74847210</v>
      </c>
      <c r="L24" s="49">
        <f t="shared" si="6"/>
        <v>62804958</v>
      </c>
      <c r="M24" s="49">
        <f t="shared" si="6"/>
        <v>0</v>
      </c>
      <c r="N24" s="49">
        <f t="shared" si="6"/>
        <v>313383146</v>
      </c>
      <c r="O24" s="50">
        <f t="shared" si="6"/>
        <v>541316854</v>
      </c>
    </row>
    <row r="25" spans="1:15">
      <c r="A25" s="1">
        <v>30501180417</v>
      </c>
      <c r="B25" s="66" t="s">
        <v>156</v>
      </c>
      <c r="C25" s="78">
        <v>90200000</v>
      </c>
      <c r="D25" s="33"/>
      <c r="E25" s="33"/>
      <c r="F25" s="78"/>
      <c r="G25" s="78">
        <f t="shared" si="1"/>
        <v>90200000</v>
      </c>
      <c r="H25" s="78">
        <v>6854623</v>
      </c>
      <c r="I25" s="78">
        <v>6458928</v>
      </c>
      <c r="J25" s="79">
        <v>6256482</v>
      </c>
      <c r="K25" s="79">
        <v>6845792</v>
      </c>
      <c r="L25" s="78">
        <v>6198754</v>
      </c>
      <c r="M25" s="78"/>
      <c r="N25" s="79">
        <f t="shared" si="2"/>
        <v>32614579</v>
      </c>
      <c r="O25" s="79">
        <f t="shared" si="3"/>
        <v>57585421</v>
      </c>
    </row>
    <row r="26" spans="1:15">
      <c r="A26" s="1">
        <v>30501180418</v>
      </c>
      <c r="B26" s="66" t="s">
        <v>157</v>
      </c>
      <c r="C26" s="78">
        <v>33000000</v>
      </c>
      <c r="D26" s="33"/>
      <c r="E26" s="33"/>
      <c r="F26" s="78"/>
      <c r="G26" s="78">
        <f t="shared" si="1"/>
        <v>33000000</v>
      </c>
      <c r="H26" s="78">
        <v>2358974</v>
      </c>
      <c r="I26" s="78">
        <v>2258796</v>
      </c>
      <c r="J26" s="79">
        <v>1996522</v>
      </c>
      <c r="K26" s="79">
        <v>2088974</v>
      </c>
      <c r="L26" s="78">
        <v>1952644</v>
      </c>
      <c r="M26" s="78"/>
      <c r="N26" s="79">
        <f t="shared" si="2"/>
        <v>10655910</v>
      </c>
      <c r="O26" s="79">
        <f t="shared" si="3"/>
        <v>22344090</v>
      </c>
    </row>
    <row r="27" spans="1:15">
      <c r="A27" s="1">
        <v>30501180419</v>
      </c>
      <c r="B27" s="66" t="s">
        <v>158</v>
      </c>
      <c r="C27" s="78">
        <v>33000000</v>
      </c>
      <c r="D27" s="33"/>
      <c r="E27" s="33"/>
      <c r="F27" s="78"/>
      <c r="G27" s="78">
        <f t="shared" si="1"/>
        <v>33000000</v>
      </c>
      <c r="H27" s="78">
        <v>2358974</v>
      </c>
      <c r="I27" s="78">
        <v>2258796</v>
      </c>
      <c r="J27" s="79">
        <v>1996522</v>
      </c>
      <c r="K27" s="79">
        <v>2088974</v>
      </c>
      <c r="L27" s="78">
        <v>1952644</v>
      </c>
      <c r="M27" s="78"/>
      <c r="N27" s="79">
        <f t="shared" si="2"/>
        <v>10655910</v>
      </c>
      <c r="O27" s="79">
        <f t="shared" si="3"/>
        <v>22344090</v>
      </c>
    </row>
    <row r="28" spans="1:15">
      <c r="A28" s="1">
        <v>30501180420</v>
      </c>
      <c r="B28" s="66" t="s">
        <v>159</v>
      </c>
      <c r="C28" s="78">
        <v>38500000</v>
      </c>
      <c r="D28" s="33"/>
      <c r="E28" s="33"/>
      <c r="F28" s="78"/>
      <c r="G28" s="78">
        <f t="shared" si="1"/>
        <v>38500000</v>
      </c>
      <c r="H28" s="78">
        <v>3687452</v>
      </c>
      <c r="I28" s="78">
        <v>3785424</v>
      </c>
      <c r="J28" s="79">
        <v>3993044</v>
      </c>
      <c r="K28" s="79">
        <f>K27*2</f>
        <v>4177948</v>
      </c>
      <c r="L28" s="78">
        <f>L27*2</f>
        <v>3905288</v>
      </c>
      <c r="M28" s="78"/>
      <c r="N28" s="79">
        <f t="shared" si="2"/>
        <v>19549156</v>
      </c>
      <c r="O28" s="79">
        <f t="shared" si="3"/>
        <v>18950844</v>
      </c>
    </row>
    <row r="29" spans="1:15">
      <c r="A29" s="1">
        <v>30501180421</v>
      </c>
      <c r="B29" s="66" t="s">
        <v>160</v>
      </c>
      <c r="C29" s="78">
        <v>660000000</v>
      </c>
      <c r="D29" s="33"/>
      <c r="E29" s="33"/>
      <c r="F29" s="78"/>
      <c r="G29" s="78">
        <f t="shared" si="1"/>
        <v>660000000</v>
      </c>
      <c r="H29" s="78">
        <v>44287944</v>
      </c>
      <c r="I29" s="78">
        <v>43689745</v>
      </c>
      <c r="J29" s="79">
        <v>43488752</v>
      </c>
      <c r="K29" s="79">
        <v>59645522</v>
      </c>
      <c r="L29" s="78">
        <v>48795628</v>
      </c>
      <c r="M29" s="78"/>
      <c r="N29" s="79">
        <f t="shared" si="2"/>
        <v>239907591</v>
      </c>
      <c r="O29" s="79">
        <f t="shared" si="3"/>
        <v>420092409</v>
      </c>
    </row>
    <row r="30" spans="1:15">
      <c r="A30" s="48">
        <v>30502</v>
      </c>
      <c r="B30" s="48" t="s">
        <v>161</v>
      </c>
      <c r="D30" s="33"/>
      <c r="E30" s="33"/>
      <c r="G30" s="33"/>
      <c r="H30" s="76"/>
      <c r="I30" s="77"/>
      <c r="J30" s="82"/>
      <c r="K30" s="82"/>
      <c r="L30" s="82"/>
      <c r="M30" s="82"/>
      <c r="N30" s="83"/>
    </row>
    <row r="31" spans="1:15">
      <c r="A31" s="48"/>
      <c r="B31" s="48" t="s">
        <v>162</v>
      </c>
      <c r="C31" s="49">
        <f>SUM(C32:C37)</f>
        <v>639500000</v>
      </c>
      <c r="D31" s="49">
        <f>SUM(D32:D37)</f>
        <v>0</v>
      </c>
      <c r="E31" s="49">
        <f>SUM(E32:E37)</f>
        <v>135000000</v>
      </c>
      <c r="F31" s="49">
        <f>SUM(F32:F37)</f>
        <v>0</v>
      </c>
      <c r="G31" s="49">
        <f>SUM(G32:G37)</f>
        <v>504500000</v>
      </c>
      <c r="H31" s="49">
        <f t="shared" ref="H31:O31" si="7">SUM(H32:H37)</f>
        <v>0</v>
      </c>
      <c r="I31" s="49">
        <f t="shared" si="7"/>
        <v>22087850</v>
      </c>
      <c r="J31" s="49">
        <f t="shared" si="7"/>
        <v>46000000</v>
      </c>
      <c r="K31" s="49">
        <f t="shared" si="7"/>
        <v>139353140</v>
      </c>
      <c r="L31" s="49">
        <f t="shared" si="7"/>
        <v>0</v>
      </c>
      <c r="M31" s="49">
        <f t="shared" si="7"/>
        <v>0</v>
      </c>
      <c r="N31" s="49">
        <f t="shared" si="7"/>
        <v>207440990</v>
      </c>
      <c r="O31" s="50">
        <f t="shared" si="7"/>
        <v>297059010</v>
      </c>
    </row>
    <row r="32" spans="1:15">
      <c r="A32" s="1">
        <v>30502180401</v>
      </c>
      <c r="B32" s="1" t="s">
        <v>163</v>
      </c>
      <c r="C32" s="78">
        <v>20000000</v>
      </c>
      <c r="D32" s="33"/>
      <c r="E32" s="33"/>
      <c r="F32" s="78"/>
      <c r="G32" s="78">
        <f t="shared" ref="G32:G47" si="8">C32+D32-E32+F32</f>
        <v>20000000</v>
      </c>
      <c r="H32" s="76"/>
      <c r="I32" s="77"/>
      <c r="J32" s="82"/>
      <c r="K32" s="82"/>
      <c r="L32" s="82"/>
      <c r="M32" s="82"/>
      <c r="N32" s="79">
        <f t="shared" ref="N32:N47" si="9">H32+I32+J32+K32+L32+M32</f>
        <v>0</v>
      </c>
      <c r="O32" s="79">
        <f t="shared" ref="O32:O47" si="10">G32-N32</f>
        <v>20000000</v>
      </c>
    </row>
    <row r="33" spans="1:15">
      <c r="A33" s="1">
        <v>30502180402</v>
      </c>
      <c r="B33" s="1" t="s">
        <v>164</v>
      </c>
      <c r="C33" s="78">
        <v>161000000</v>
      </c>
      <c r="D33" s="33"/>
      <c r="E33" s="33"/>
      <c r="F33" s="78"/>
      <c r="G33" s="78">
        <f t="shared" si="8"/>
        <v>161000000</v>
      </c>
      <c r="H33" s="78"/>
      <c r="I33" s="78">
        <v>22087850</v>
      </c>
      <c r="J33" s="78">
        <v>46000000</v>
      </c>
      <c r="K33" s="78"/>
      <c r="L33" s="78"/>
      <c r="M33" s="78"/>
      <c r="N33" s="79">
        <f t="shared" si="9"/>
        <v>68087850</v>
      </c>
      <c r="O33" s="79">
        <f t="shared" si="10"/>
        <v>92912150</v>
      </c>
    </row>
    <row r="34" spans="1:15">
      <c r="A34" s="1">
        <v>30502180403</v>
      </c>
      <c r="B34" s="81" t="s">
        <v>286</v>
      </c>
      <c r="C34" s="78">
        <v>267000000</v>
      </c>
      <c r="D34" s="33"/>
      <c r="E34" s="33"/>
      <c r="F34" s="78"/>
      <c r="G34" s="78">
        <f t="shared" si="8"/>
        <v>267000000</v>
      </c>
      <c r="H34" s="78"/>
      <c r="I34" s="78"/>
      <c r="J34" s="78">
        <v>0</v>
      </c>
      <c r="K34" s="78">
        <v>139353140</v>
      </c>
      <c r="L34" s="78"/>
      <c r="M34" s="78"/>
      <c r="N34" s="79">
        <f t="shared" si="9"/>
        <v>139353140</v>
      </c>
      <c r="O34" s="79">
        <f t="shared" si="10"/>
        <v>127646860</v>
      </c>
    </row>
    <row r="35" spans="1:15">
      <c r="A35" s="1">
        <v>30502180404</v>
      </c>
      <c r="B35" s="1" t="s">
        <v>165</v>
      </c>
      <c r="C35" s="78">
        <v>38500000</v>
      </c>
      <c r="D35" s="33"/>
      <c r="E35" s="78">
        <v>10000000</v>
      </c>
      <c r="F35" s="78"/>
      <c r="G35" s="78">
        <f t="shared" si="8"/>
        <v>28500000</v>
      </c>
      <c r="H35" s="78"/>
      <c r="I35" s="78"/>
      <c r="J35" s="78"/>
      <c r="K35" s="78"/>
      <c r="L35" s="78"/>
      <c r="M35" s="78"/>
      <c r="N35" s="79">
        <f t="shared" si="9"/>
        <v>0</v>
      </c>
      <c r="O35" s="79">
        <f t="shared" si="10"/>
        <v>28500000</v>
      </c>
    </row>
    <row r="36" spans="1:15">
      <c r="A36" s="1" t="s">
        <v>287</v>
      </c>
      <c r="B36" s="1" t="s">
        <v>166</v>
      </c>
      <c r="C36" s="78">
        <v>3000000</v>
      </c>
      <c r="D36" s="33"/>
      <c r="E36" s="33"/>
      <c r="F36" s="78"/>
      <c r="G36" s="78">
        <f t="shared" si="8"/>
        <v>3000000</v>
      </c>
      <c r="H36" s="78"/>
      <c r="I36" s="78"/>
      <c r="J36" s="78"/>
      <c r="K36" s="78"/>
      <c r="L36" s="78"/>
      <c r="M36" s="78"/>
      <c r="N36" s="79">
        <f t="shared" si="9"/>
        <v>0</v>
      </c>
      <c r="O36" s="79">
        <f t="shared" si="10"/>
        <v>3000000</v>
      </c>
    </row>
    <row r="37" spans="1:15">
      <c r="A37" s="1">
        <v>30502180405</v>
      </c>
      <c r="B37" s="1" t="s">
        <v>167</v>
      </c>
      <c r="C37" s="78">
        <v>150000000</v>
      </c>
      <c r="D37" s="33"/>
      <c r="E37" s="78">
        <f>100000000+25000000</f>
        <v>125000000</v>
      </c>
      <c r="F37" s="78"/>
      <c r="G37" s="78">
        <f t="shared" si="8"/>
        <v>25000000</v>
      </c>
      <c r="H37" s="78"/>
      <c r="I37" s="78"/>
      <c r="J37" s="78"/>
      <c r="K37" s="78"/>
      <c r="L37" s="78"/>
      <c r="M37" s="78"/>
      <c r="N37" s="79">
        <f t="shared" si="9"/>
        <v>0</v>
      </c>
      <c r="O37" s="79">
        <f t="shared" si="10"/>
        <v>25000000</v>
      </c>
    </row>
    <row r="38" spans="1:15">
      <c r="A38" s="1"/>
      <c r="B38" s="48" t="s">
        <v>168</v>
      </c>
      <c r="C38" s="49">
        <f>SUM(C39:C47)</f>
        <v>582500000</v>
      </c>
      <c r="D38" s="49">
        <f>SUM(D39:D47)</f>
        <v>8000000</v>
      </c>
      <c r="E38" s="49">
        <f>SUM(E39:E47)</f>
        <v>35000000</v>
      </c>
      <c r="F38" s="49">
        <f>SUM(F39:F47)</f>
        <v>0</v>
      </c>
      <c r="G38" s="49">
        <f>SUM(G39:G47)</f>
        <v>555500000</v>
      </c>
      <c r="H38" s="49">
        <f t="shared" ref="H38:O38" si="11">SUM(H39:H47)</f>
        <v>9352110</v>
      </c>
      <c r="I38" s="49">
        <f t="shared" si="11"/>
        <v>121900005</v>
      </c>
      <c r="J38" s="49">
        <f t="shared" si="11"/>
        <v>59084162</v>
      </c>
      <c r="K38" s="49">
        <f t="shared" si="11"/>
        <v>46405658</v>
      </c>
      <c r="L38" s="49">
        <f t="shared" si="11"/>
        <v>15266849</v>
      </c>
      <c r="M38" s="49">
        <f t="shared" si="11"/>
        <v>23632312</v>
      </c>
      <c r="N38" s="49">
        <f t="shared" si="11"/>
        <v>275641096</v>
      </c>
      <c r="O38" s="50">
        <f t="shared" si="11"/>
        <v>279858904</v>
      </c>
    </row>
    <row r="39" spans="1:15">
      <c r="A39" s="1">
        <v>30502180406</v>
      </c>
      <c r="B39" s="1" t="s">
        <v>169</v>
      </c>
      <c r="C39" s="78">
        <v>55000000</v>
      </c>
      <c r="D39" s="33"/>
      <c r="E39" s="33"/>
      <c r="F39" s="78"/>
      <c r="G39" s="78">
        <f t="shared" si="8"/>
        <v>55000000</v>
      </c>
      <c r="H39" s="78"/>
      <c r="I39" s="78"/>
      <c r="J39" s="78">
        <v>25000000</v>
      </c>
      <c r="K39" s="78">
        <v>2195348</v>
      </c>
      <c r="L39" s="78">
        <v>2227929</v>
      </c>
      <c r="M39" s="78">
        <v>1883840</v>
      </c>
      <c r="N39" s="79">
        <f t="shared" si="9"/>
        <v>31307117</v>
      </c>
      <c r="O39" s="79">
        <f t="shared" si="10"/>
        <v>23692883</v>
      </c>
    </row>
    <row r="40" spans="1:15">
      <c r="A40" s="1">
        <v>30502180407</v>
      </c>
      <c r="B40" s="1" t="s">
        <v>170</v>
      </c>
      <c r="C40" s="78">
        <v>100000000</v>
      </c>
      <c r="D40" s="33"/>
      <c r="E40" s="33"/>
      <c r="F40" s="78"/>
      <c r="G40" s="78">
        <f t="shared" si="8"/>
        <v>100000000</v>
      </c>
      <c r="H40" s="78"/>
      <c r="I40" s="78"/>
      <c r="J40" s="78">
        <v>6000000</v>
      </c>
      <c r="K40" s="78"/>
      <c r="L40" s="78"/>
      <c r="M40" s="78">
        <v>10000000</v>
      </c>
      <c r="N40" s="79">
        <f t="shared" si="9"/>
        <v>16000000</v>
      </c>
      <c r="O40" s="79">
        <f t="shared" si="10"/>
        <v>84000000</v>
      </c>
    </row>
    <row r="41" spans="1:15">
      <c r="A41" s="1">
        <v>30502180408</v>
      </c>
      <c r="B41" s="1" t="s">
        <v>171</v>
      </c>
      <c r="C41" s="78">
        <v>45000000</v>
      </c>
      <c r="D41" s="78">
        <v>8000000</v>
      </c>
      <c r="E41" s="33"/>
      <c r="F41" s="78"/>
      <c r="G41" s="78">
        <f t="shared" si="8"/>
        <v>53000000</v>
      </c>
      <c r="H41" s="78"/>
      <c r="I41" s="78">
        <v>18000000</v>
      </c>
      <c r="J41" s="78">
        <v>2518073</v>
      </c>
      <c r="K41" s="78">
        <v>31000000</v>
      </c>
      <c r="L41" s="78"/>
      <c r="M41" s="78"/>
      <c r="N41" s="79">
        <f t="shared" si="9"/>
        <v>51518073</v>
      </c>
      <c r="O41" s="79">
        <f t="shared" si="10"/>
        <v>1481927</v>
      </c>
    </row>
    <row r="42" spans="1:15">
      <c r="A42" s="1">
        <v>30502180409</v>
      </c>
      <c r="B42" s="1" t="s">
        <v>172</v>
      </c>
      <c r="C42" s="78">
        <v>200000000</v>
      </c>
      <c r="D42" s="33"/>
      <c r="E42" s="78">
        <v>20000000</v>
      </c>
      <c r="F42" s="78"/>
      <c r="G42" s="78">
        <f t="shared" si="8"/>
        <v>180000000</v>
      </c>
      <c r="H42" s="78">
        <v>9130652</v>
      </c>
      <c r="I42" s="78">
        <v>8117194</v>
      </c>
      <c r="J42" s="78">
        <v>24352686</v>
      </c>
      <c r="K42" s="78">
        <v>12486885</v>
      </c>
      <c r="L42" s="78">
        <v>12677209</v>
      </c>
      <c r="M42" s="78">
        <v>9528753</v>
      </c>
      <c r="N42" s="79">
        <f t="shared" si="9"/>
        <v>76293379</v>
      </c>
      <c r="O42" s="79">
        <f t="shared" si="10"/>
        <v>103706621</v>
      </c>
    </row>
    <row r="43" spans="1:15">
      <c r="A43" s="1">
        <v>30502180410</v>
      </c>
      <c r="B43" s="1" t="s">
        <v>173</v>
      </c>
      <c r="C43" s="78">
        <v>45000000</v>
      </c>
      <c r="D43" s="33"/>
      <c r="E43" s="78">
        <v>5000000</v>
      </c>
      <c r="F43" s="78"/>
      <c r="G43" s="78">
        <f t="shared" si="8"/>
        <v>40000000</v>
      </c>
      <c r="H43" s="78"/>
      <c r="I43" s="78">
        <v>148733</v>
      </c>
      <c r="J43" s="78">
        <v>1014839</v>
      </c>
      <c r="K43" s="78">
        <v>723425</v>
      </c>
      <c r="L43" s="78">
        <v>361711</v>
      </c>
      <c r="M43" s="78">
        <v>2219719</v>
      </c>
      <c r="N43" s="79">
        <f t="shared" si="9"/>
        <v>4468427</v>
      </c>
      <c r="O43" s="79">
        <f t="shared" si="10"/>
        <v>35531573</v>
      </c>
    </row>
    <row r="44" spans="1:15">
      <c r="A44" s="1">
        <v>30502180411</v>
      </c>
      <c r="B44" s="1" t="s">
        <v>174</v>
      </c>
      <c r="C44" s="78">
        <v>110000000</v>
      </c>
      <c r="D44" s="33"/>
      <c r="E44" s="78"/>
      <c r="F44" s="78"/>
      <c r="G44" s="78">
        <f t="shared" si="8"/>
        <v>110000000</v>
      </c>
      <c r="H44" s="78"/>
      <c r="I44" s="78">
        <v>91349556</v>
      </c>
      <c r="J44" s="78"/>
      <c r="K44" s="78"/>
      <c r="L44" s="78"/>
      <c r="M44" s="78"/>
      <c r="N44" s="79">
        <f t="shared" si="9"/>
        <v>91349556</v>
      </c>
      <c r="O44" s="79">
        <f t="shared" si="10"/>
        <v>18650444</v>
      </c>
    </row>
    <row r="45" spans="1:15">
      <c r="A45" s="1">
        <v>30502180412</v>
      </c>
      <c r="B45" s="1" t="s">
        <v>288</v>
      </c>
      <c r="C45" s="78">
        <v>16500000</v>
      </c>
      <c r="D45" s="33"/>
      <c r="E45" s="78">
        <v>5000000</v>
      </c>
      <c r="F45" s="78"/>
      <c r="G45" s="78">
        <f t="shared" si="8"/>
        <v>11500000</v>
      </c>
      <c r="H45" s="78"/>
      <c r="I45" s="78">
        <v>4000000</v>
      </c>
      <c r="J45" s="78"/>
      <c r="K45" s="78"/>
      <c r="L45" s="78"/>
      <c r="M45" s="78"/>
      <c r="N45" s="79">
        <f t="shared" si="9"/>
        <v>4000000</v>
      </c>
      <c r="O45" s="79">
        <f t="shared" si="10"/>
        <v>7500000</v>
      </c>
    </row>
    <row r="46" spans="1:15">
      <c r="A46" s="1">
        <v>30502180413</v>
      </c>
      <c r="B46" s="1" t="s">
        <v>176</v>
      </c>
      <c r="C46" s="78">
        <v>10000000</v>
      </c>
      <c r="D46" s="33"/>
      <c r="E46" s="78">
        <v>5000000</v>
      </c>
      <c r="F46" s="78"/>
      <c r="G46" s="78">
        <f t="shared" si="8"/>
        <v>5000000</v>
      </c>
      <c r="H46" s="78">
        <v>221458</v>
      </c>
      <c r="I46" s="78">
        <v>284522</v>
      </c>
      <c r="J46" s="78">
        <v>198564</v>
      </c>
      <c r="K46" s="78"/>
      <c r="L46" s="78"/>
      <c r="M46" s="78"/>
      <c r="N46" s="79">
        <f t="shared" si="9"/>
        <v>704544</v>
      </c>
      <c r="O46" s="79">
        <f t="shared" si="10"/>
        <v>4295456</v>
      </c>
    </row>
    <row r="47" spans="1:15">
      <c r="A47" s="1">
        <v>30502180414</v>
      </c>
      <c r="B47" s="1" t="s">
        <v>177</v>
      </c>
      <c r="C47" s="78">
        <v>1000000</v>
      </c>
      <c r="D47" s="33"/>
      <c r="E47" s="33"/>
      <c r="F47" s="78"/>
      <c r="G47" s="78">
        <f t="shared" si="8"/>
        <v>1000000</v>
      </c>
      <c r="H47" s="78"/>
      <c r="I47" s="78"/>
      <c r="J47" s="78"/>
      <c r="K47" s="78"/>
      <c r="L47" s="78"/>
      <c r="M47" s="78"/>
      <c r="N47" s="79">
        <f t="shared" si="9"/>
        <v>0</v>
      </c>
      <c r="O47" s="79">
        <f t="shared" si="10"/>
        <v>1000000</v>
      </c>
    </row>
    <row r="48" spans="1:15">
      <c r="A48" s="33"/>
      <c r="B48" s="48" t="s">
        <v>178</v>
      </c>
      <c r="D48" s="33"/>
      <c r="E48" s="33"/>
      <c r="G48" s="33"/>
      <c r="H48" s="78"/>
      <c r="I48" s="78"/>
      <c r="J48" s="78"/>
      <c r="K48" s="78"/>
      <c r="L48" s="78"/>
      <c r="M48" s="78"/>
      <c r="N48" s="79"/>
    </row>
    <row r="49" spans="1:15">
      <c r="A49" s="33"/>
      <c r="B49" s="48" t="s">
        <v>179</v>
      </c>
      <c r="C49" s="49">
        <f>SUM(C50:C53)</f>
        <v>667800000</v>
      </c>
      <c r="D49" s="49">
        <f>SUM(D50:D53)</f>
        <v>0</v>
      </c>
      <c r="E49" s="49">
        <f>SUM(E50:E53)</f>
        <v>86000000</v>
      </c>
      <c r="F49" s="49">
        <f>SUM(F50:F53)</f>
        <v>0</v>
      </c>
      <c r="G49" s="49">
        <f>SUM(G50:G53)</f>
        <v>581800000</v>
      </c>
      <c r="H49" s="49">
        <f t="shared" ref="H49:O49" si="12">SUM(H50:H53)</f>
        <v>82841816</v>
      </c>
      <c r="I49" s="49">
        <f t="shared" si="12"/>
        <v>187170072</v>
      </c>
      <c r="J49" s="49">
        <f t="shared" si="12"/>
        <v>32783766</v>
      </c>
      <c r="K49" s="49">
        <f t="shared" si="12"/>
        <v>12875594</v>
      </c>
      <c r="L49" s="49">
        <f t="shared" si="12"/>
        <v>8312000</v>
      </c>
      <c r="M49" s="49">
        <f t="shared" si="12"/>
        <v>21751188</v>
      </c>
      <c r="N49" s="49">
        <f t="shared" si="12"/>
        <v>345734436</v>
      </c>
      <c r="O49" s="50">
        <f t="shared" si="12"/>
        <v>236065564</v>
      </c>
    </row>
    <row r="50" spans="1:15">
      <c r="A50" s="1">
        <v>30503180401</v>
      </c>
      <c r="B50" s="1" t="s">
        <v>180</v>
      </c>
      <c r="C50" s="78">
        <v>96800000</v>
      </c>
      <c r="D50" s="33"/>
      <c r="E50" s="78">
        <v>10000000</v>
      </c>
      <c r="F50" s="78"/>
      <c r="G50" s="78">
        <f t="shared" ref="G50:G57" si="13">C50+D50-E50+F50</f>
        <v>86800000</v>
      </c>
      <c r="H50" s="78">
        <v>4701634</v>
      </c>
      <c r="I50" s="78">
        <v>4875594</v>
      </c>
      <c r="J50" s="78">
        <v>4875594</v>
      </c>
      <c r="K50" s="78">
        <v>4875594</v>
      </c>
      <c r="L50" s="78"/>
      <c r="M50" s="78">
        <v>9751188</v>
      </c>
      <c r="N50" s="79">
        <f t="shared" ref="N50:N57" si="14">H50+I50+J50+K50+L50+M50</f>
        <v>29079604</v>
      </c>
      <c r="O50" s="79">
        <f t="shared" ref="O50:O57" si="15">G50-N50</f>
        <v>57720396</v>
      </c>
    </row>
    <row r="51" spans="1:15">
      <c r="A51" s="1">
        <v>30503180402</v>
      </c>
      <c r="B51" s="1" t="s">
        <v>181</v>
      </c>
      <c r="C51" s="78">
        <v>1000000</v>
      </c>
      <c r="D51" s="33"/>
      <c r="E51" s="78"/>
      <c r="F51" s="78"/>
      <c r="G51" s="78">
        <f t="shared" si="13"/>
        <v>1000000</v>
      </c>
      <c r="H51" s="78"/>
      <c r="I51" s="78"/>
      <c r="J51" s="78"/>
      <c r="K51" s="78"/>
      <c r="L51" s="78"/>
      <c r="M51" s="78"/>
      <c r="N51" s="79">
        <f t="shared" si="14"/>
        <v>0</v>
      </c>
      <c r="O51" s="79">
        <f t="shared" si="15"/>
        <v>1000000</v>
      </c>
    </row>
    <row r="52" spans="1:15">
      <c r="A52" s="1">
        <v>30503180403</v>
      </c>
      <c r="B52" s="1" t="s">
        <v>182</v>
      </c>
      <c r="C52" s="78">
        <v>550000000</v>
      </c>
      <c r="D52" s="33"/>
      <c r="E52" s="78">
        <v>70000000</v>
      </c>
      <c r="F52" s="78"/>
      <c r="G52" s="78">
        <f t="shared" si="13"/>
        <v>480000000</v>
      </c>
      <c r="H52" s="78">
        <v>66908099</v>
      </c>
      <c r="I52" s="78">
        <v>182294478</v>
      </c>
      <c r="J52" s="78">
        <v>27908172</v>
      </c>
      <c r="K52" s="78">
        <v>8000000</v>
      </c>
      <c r="L52" s="78">
        <v>8312000</v>
      </c>
      <c r="M52" s="78">
        <v>12000000</v>
      </c>
      <c r="N52" s="79">
        <f t="shared" si="14"/>
        <v>305422749</v>
      </c>
      <c r="O52" s="79">
        <f t="shared" si="15"/>
        <v>174577251</v>
      </c>
    </row>
    <row r="53" spans="1:15">
      <c r="A53" s="1">
        <v>30503180404</v>
      </c>
      <c r="B53" s="1" t="s">
        <v>183</v>
      </c>
      <c r="C53" s="78">
        <v>20000000</v>
      </c>
      <c r="D53" s="33"/>
      <c r="E53" s="78">
        <v>6000000</v>
      </c>
      <c r="F53" s="78"/>
      <c r="G53" s="78">
        <f t="shared" si="13"/>
        <v>14000000</v>
      </c>
      <c r="H53" s="78">
        <v>11232083</v>
      </c>
      <c r="I53" s="78"/>
      <c r="J53" s="78"/>
      <c r="K53" s="78"/>
      <c r="L53" s="78"/>
      <c r="M53" s="78"/>
      <c r="N53" s="79">
        <f t="shared" si="14"/>
        <v>11232083</v>
      </c>
      <c r="O53" s="79">
        <f t="shared" si="15"/>
        <v>2767917</v>
      </c>
    </row>
    <row r="54" spans="1:15">
      <c r="A54" s="1"/>
      <c r="B54" s="48" t="s">
        <v>184</v>
      </c>
      <c r="C54" s="49">
        <f>C55+C56+C57</f>
        <v>233000000</v>
      </c>
      <c r="D54" s="49">
        <f>D55+D56+D57</f>
        <v>0</v>
      </c>
      <c r="E54" s="49">
        <f>E55+E56+E57</f>
        <v>20000000</v>
      </c>
      <c r="F54" s="49">
        <f>F55+F56+F57</f>
        <v>0</v>
      </c>
      <c r="G54" s="49">
        <f t="shared" ref="G54:O54" si="16">G55+G56+G57</f>
        <v>213000000</v>
      </c>
      <c r="H54" s="49">
        <f t="shared" si="16"/>
        <v>4076867</v>
      </c>
      <c r="I54" s="49">
        <f t="shared" si="16"/>
        <v>14249611</v>
      </c>
      <c r="J54" s="49">
        <f t="shared" si="16"/>
        <v>18602522</v>
      </c>
      <c r="K54" s="49">
        <f t="shared" si="16"/>
        <v>23907035</v>
      </c>
      <c r="L54" s="49">
        <f t="shared" si="16"/>
        <v>7027636</v>
      </c>
      <c r="M54" s="49">
        <f t="shared" si="16"/>
        <v>20420705</v>
      </c>
      <c r="N54" s="49">
        <f t="shared" si="16"/>
        <v>88284376</v>
      </c>
      <c r="O54" s="50">
        <f t="shared" si="16"/>
        <v>124715624</v>
      </c>
    </row>
    <row r="55" spans="1:15">
      <c r="A55" s="1">
        <v>30503180405</v>
      </c>
      <c r="B55" s="1" t="s">
        <v>185</v>
      </c>
      <c r="C55" s="78">
        <v>30000000</v>
      </c>
      <c r="D55" s="33"/>
      <c r="E55" s="78">
        <v>20000000</v>
      </c>
      <c r="F55" s="78"/>
      <c r="G55" s="78">
        <f t="shared" si="13"/>
        <v>10000000</v>
      </c>
      <c r="H55" s="78"/>
      <c r="I55" s="78"/>
      <c r="J55" s="78"/>
      <c r="K55" s="78"/>
      <c r="L55" s="78"/>
      <c r="M55" s="78"/>
      <c r="N55" s="79">
        <f t="shared" si="14"/>
        <v>0</v>
      </c>
      <c r="O55" s="79">
        <f t="shared" si="15"/>
        <v>10000000</v>
      </c>
    </row>
    <row r="56" spans="1:15">
      <c r="A56" s="1">
        <v>30503180406</v>
      </c>
      <c r="B56" s="1" t="s">
        <v>186</v>
      </c>
      <c r="C56" s="78">
        <v>88000000</v>
      </c>
      <c r="D56" s="33"/>
      <c r="E56" s="78"/>
      <c r="F56" s="78"/>
      <c r="G56" s="78">
        <f t="shared" si="13"/>
        <v>88000000</v>
      </c>
      <c r="H56" s="78"/>
      <c r="I56" s="78"/>
      <c r="J56" s="78">
        <v>12000000</v>
      </c>
      <c r="K56" s="78">
        <v>17095000</v>
      </c>
      <c r="L56" s="78">
        <v>500000</v>
      </c>
      <c r="M56" s="78">
        <v>5480000</v>
      </c>
      <c r="N56" s="79">
        <f t="shared" si="14"/>
        <v>35075000</v>
      </c>
      <c r="O56" s="79">
        <f t="shared" si="15"/>
        <v>52925000</v>
      </c>
    </row>
    <row r="57" spans="1:15">
      <c r="A57" s="1">
        <v>30503180407</v>
      </c>
      <c r="B57" s="1" t="s">
        <v>187</v>
      </c>
      <c r="C57" s="78">
        <v>115000000</v>
      </c>
      <c r="D57" s="33"/>
      <c r="E57" s="78"/>
      <c r="F57" s="78"/>
      <c r="G57" s="78">
        <f t="shared" si="13"/>
        <v>115000000</v>
      </c>
      <c r="H57" s="78">
        <v>4076867</v>
      </c>
      <c r="I57" s="78">
        <v>14249611</v>
      </c>
      <c r="J57" s="78">
        <v>6602522</v>
      </c>
      <c r="K57" s="78">
        <v>6812035</v>
      </c>
      <c r="L57" s="78">
        <v>6527636</v>
      </c>
      <c r="M57" s="78">
        <v>14940705</v>
      </c>
      <c r="N57" s="79">
        <f t="shared" si="14"/>
        <v>53209376</v>
      </c>
      <c r="O57" s="79">
        <f t="shared" si="15"/>
        <v>61790624</v>
      </c>
    </row>
    <row r="58" spans="1:15">
      <c r="A58" s="1"/>
      <c r="B58" s="1"/>
      <c r="D58" s="33"/>
      <c r="E58" s="33"/>
      <c r="G58" s="33"/>
      <c r="H58" s="76"/>
      <c r="I58" s="77"/>
      <c r="J58" s="82"/>
      <c r="K58" s="82"/>
      <c r="L58" s="82"/>
      <c r="M58" s="82"/>
      <c r="N58" s="83"/>
    </row>
    <row r="59" spans="1:15">
      <c r="A59" s="9"/>
      <c r="B59" s="30" t="s">
        <v>188</v>
      </c>
      <c r="C59" s="57">
        <f>C5+C17+C22+C24+C31+C38+C49+C54</f>
        <v>7400000000</v>
      </c>
      <c r="D59" s="57">
        <f>D5+D17+D22+D24+D31+D38+D49+D54</f>
        <v>365000000</v>
      </c>
      <c r="E59" s="57">
        <f>E5+E17+E22+E24+E31+E38+E49+E54</f>
        <v>365000000</v>
      </c>
      <c r="F59" s="57">
        <f>F5+F17+F22+F24+F31+F38+F49+F54</f>
        <v>0</v>
      </c>
      <c r="G59" s="57">
        <f>G5+G17+G22+G24+G31+G38+G49+G54</f>
        <v>7400000000</v>
      </c>
      <c r="H59" s="57">
        <f t="shared" ref="H59:O59" si="17">H5+H17+H22+H24+H31+H38+H49+H54</f>
        <v>447165025</v>
      </c>
      <c r="I59" s="57">
        <f t="shared" si="17"/>
        <v>728169026</v>
      </c>
      <c r="J59" s="57">
        <f t="shared" si="17"/>
        <v>573354210</v>
      </c>
      <c r="K59" s="57">
        <f t="shared" si="17"/>
        <v>658706499</v>
      </c>
      <c r="L59" s="57">
        <f t="shared" si="17"/>
        <v>466587389</v>
      </c>
      <c r="M59" s="57">
        <f t="shared" si="17"/>
        <v>946852114</v>
      </c>
      <c r="N59" s="70">
        <f t="shared" si="17"/>
        <v>3820834263</v>
      </c>
      <c r="O59" s="70">
        <f t="shared" si="17"/>
        <v>3579165737</v>
      </c>
    </row>
    <row r="60" spans="1:15" ht="15.75">
      <c r="A60" s="33"/>
      <c r="B60" s="36" t="s">
        <v>189</v>
      </c>
      <c r="C60" s="49"/>
      <c r="D60" s="33"/>
      <c r="E60" s="33"/>
      <c r="F60" s="49"/>
      <c r="G60" s="33"/>
      <c r="H60" s="78"/>
      <c r="I60" s="78"/>
      <c r="J60" s="78"/>
      <c r="K60" s="78"/>
      <c r="L60" s="78"/>
      <c r="M60" s="78"/>
      <c r="N60" s="84"/>
    </row>
    <row r="61" spans="1:15">
      <c r="A61" s="1">
        <v>305061804</v>
      </c>
      <c r="B61" s="48" t="s">
        <v>190</v>
      </c>
      <c r="C61" s="49">
        <v>0</v>
      </c>
      <c r="D61" s="33"/>
      <c r="E61" s="33"/>
      <c r="F61" s="49"/>
      <c r="G61" s="33"/>
      <c r="H61" s="78"/>
      <c r="I61" s="78"/>
      <c r="J61" s="78"/>
      <c r="K61" s="78"/>
      <c r="L61" s="78"/>
      <c r="M61" s="78"/>
      <c r="N61" s="79"/>
      <c r="O61" s="69"/>
    </row>
    <row r="62" spans="1:15">
      <c r="A62" s="1">
        <v>30506180401</v>
      </c>
      <c r="B62" s="1" t="s">
        <v>191</v>
      </c>
      <c r="C62" s="49">
        <v>0</v>
      </c>
      <c r="D62" s="33"/>
      <c r="E62" s="33"/>
      <c r="F62" s="49"/>
      <c r="G62" s="33"/>
      <c r="H62" s="78"/>
      <c r="I62" s="78"/>
      <c r="J62" s="78"/>
      <c r="K62" s="78"/>
      <c r="L62" s="78"/>
      <c r="M62" s="78"/>
      <c r="N62" s="79">
        <f>H62+I62+J62</f>
        <v>0</v>
      </c>
      <c r="O62" s="79">
        <f>G62-N62</f>
        <v>0</v>
      </c>
    </row>
    <row r="63" spans="1:15">
      <c r="A63" s="1">
        <v>30506180402</v>
      </c>
      <c r="B63" s="1" t="s">
        <v>192</v>
      </c>
      <c r="C63" s="49">
        <v>0</v>
      </c>
      <c r="D63" s="33"/>
      <c r="E63" s="33"/>
      <c r="F63" s="49"/>
      <c r="G63" s="33"/>
      <c r="H63" s="78"/>
      <c r="I63" s="78"/>
      <c r="J63" s="78"/>
      <c r="K63" s="78"/>
      <c r="L63" s="78"/>
      <c r="M63" s="78"/>
      <c r="N63" s="79">
        <f>H63+I63+J63</f>
        <v>0</v>
      </c>
      <c r="O63" s="79">
        <f>G63-N63</f>
        <v>0</v>
      </c>
    </row>
    <row r="64" spans="1:15">
      <c r="A64" s="9"/>
      <c r="B64" s="30" t="s">
        <v>193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60">
        <v>0</v>
      </c>
      <c r="O64" s="60">
        <v>0</v>
      </c>
    </row>
    <row r="65" spans="1:15" ht="15.75">
      <c r="A65" s="33"/>
      <c r="B65" s="36" t="s">
        <v>194</v>
      </c>
      <c r="C65" s="49"/>
      <c r="D65" s="33"/>
      <c r="E65" s="33"/>
      <c r="F65" s="49"/>
      <c r="G65" s="33"/>
      <c r="H65" s="78"/>
      <c r="I65" s="78"/>
      <c r="J65" s="78"/>
      <c r="K65" s="78"/>
      <c r="L65" s="78"/>
      <c r="M65" s="78"/>
      <c r="N65" s="79"/>
    </row>
    <row r="66" spans="1:15">
      <c r="A66" s="1">
        <v>30507180401</v>
      </c>
      <c r="B66" s="1" t="s">
        <v>240</v>
      </c>
      <c r="C66" s="78">
        <v>600000000</v>
      </c>
      <c r="D66" s="33"/>
      <c r="E66" s="33"/>
      <c r="F66" s="78"/>
      <c r="G66" s="78">
        <f t="shared" ref="G66:G71" si="18">C66+D66-E66+F66</f>
        <v>600000000</v>
      </c>
      <c r="H66" s="78"/>
      <c r="I66" s="78"/>
      <c r="J66" s="78"/>
      <c r="K66" s="78"/>
      <c r="L66" s="78"/>
      <c r="M66" s="78">
        <v>0</v>
      </c>
      <c r="N66" s="79">
        <f t="shared" ref="N66:N71" si="19">H66+I66+J66+K66+L66+M66</f>
        <v>0</v>
      </c>
      <c r="O66" s="79">
        <f t="shared" ref="O66:O71" si="20">G66-N66</f>
        <v>600000000</v>
      </c>
    </row>
    <row r="67" spans="1:15">
      <c r="A67" s="1">
        <v>30507180402</v>
      </c>
      <c r="B67" s="1" t="s">
        <v>241</v>
      </c>
      <c r="C67" s="78">
        <v>700000000</v>
      </c>
      <c r="D67" s="33"/>
      <c r="E67" s="33"/>
      <c r="F67" s="78">
        <v>800000000</v>
      </c>
      <c r="G67" s="78">
        <f t="shared" si="18"/>
        <v>1500000000</v>
      </c>
      <c r="H67" s="78"/>
      <c r="I67" s="78"/>
      <c r="J67" s="78">
        <v>6600000</v>
      </c>
      <c r="K67" s="78">
        <v>89724640</v>
      </c>
      <c r="L67" s="78">
        <v>418500000</v>
      </c>
      <c r="M67" s="78">
        <v>122117895</v>
      </c>
      <c r="N67" s="79">
        <f t="shared" si="19"/>
        <v>636942535</v>
      </c>
      <c r="O67" s="79">
        <f t="shared" si="20"/>
        <v>863057465</v>
      </c>
    </row>
    <row r="68" spans="1:15">
      <c r="A68" s="1">
        <v>30507180403</v>
      </c>
      <c r="B68" s="1" t="s">
        <v>242</v>
      </c>
      <c r="C68" s="78">
        <v>440000000</v>
      </c>
      <c r="D68" s="33"/>
      <c r="E68" s="33"/>
      <c r="F68" s="78">
        <v>148817986</v>
      </c>
      <c r="G68" s="78">
        <f t="shared" si="18"/>
        <v>588817986</v>
      </c>
      <c r="H68" s="78"/>
      <c r="I68" s="78">
        <v>12000000</v>
      </c>
      <c r="J68" s="78">
        <v>2000000</v>
      </c>
      <c r="K68" s="78"/>
      <c r="L68" s="78">
        <v>47066667</v>
      </c>
      <c r="M68" s="78">
        <v>9000000</v>
      </c>
      <c r="N68" s="79">
        <f t="shared" si="19"/>
        <v>70066667</v>
      </c>
      <c r="O68" s="79">
        <f t="shared" si="20"/>
        <v>518751319</v>
      </c>
    </row>
    <row r="69" spans="1:15">
      <c r="A69" s="1">
        <v>30507180404</v>
      </c>
      <c r="B69" s="1" t="s">
        <v>243</v>
      </c>
      <c r="C69" s="78">
        <v>165000000</v>
      </c>
      <c r="D69" s="33"/>
      <c r="E69" s="33"/>
      <c r="F69" s="78"/>
      <c r="G69" s="78">
        <f t="shared" si="18"/>
        <v>165000000</v>
      </c>
      <c r="H69" s="78"/>
      <c r="I69" s="78"/>
      <c r="J69" s="78"/>
      <c r="K69" s="78"/>
      <c r="L69" s="78"/>
      <c r="M69" s="78">
        <v>0</v>
      </c>
      <c r="N69" s="79">
        <f t="shared" si="19"/>
        <v>0</v>
      </c>
      <c r="O69" s="79">
        <f t="shared" si="20"/>
        <v>165000000</v>
      </c>
    </row>
    <row r="70" spans="1:15">
      <c r="A70" s="1">
        <v>30507180405</v>
      </c>
      <c r="B70" s="1" t="s">
        <v>244</v>
      </c>
      <c r="C70" s="78">
        <v>165000000</v>
      </c>
      <c r="D70" s="33"/>
      <c r="E70" s="33"/>
      <c r="F70" s="78">
        <v>380000000</v>
      </c>
      <c r="G70" s="78">
        <f t="shared" si="18"/>
        <v>545000000</v>
      </c>
      <c r="H70" s="78"/>
      <c r="I70" s="78">
        <v>21000000</v>
      </c>
      <c r="J70" s="78"/>
      <c r="K70" s="78">
        <v>18000000</v>
      </c>
      <c r="L70" s="78">
        <v>122820734</v>
      </c>
      <c r="M70" s="78">
        <v>3003334</v>
      </c>
      <c r="N70" s="79">
        <f t="shared" si="19"/>
        <v>164824068</v>
      </c>
      <c r="O70" s="79">
        <f t="shared" si="20"/>
        <v>380175932</v>
      </c>
    </row>
    <row r="71" spans="1:15">
      <c r="A71" s="1">
        <v>30507180406</v>
      </c>
      <c r="B71" s="62" t="s">
        <v>245</v>
      </c>
      <c r="C71" s="78">
        <v>500000000</v>
      </c>
      <c r="D71" s="33"/>
      <c r="E71" s="33"/>
      <c r="F71" s="78">
        <v>751000000</v>
      </c>
      <c r="G71" s="78">
        <f t="shared" si="18"/>
        <v>1251000000</v>
      </c>
      <c r="H71" s="78"/>
      <c r="I71" s="78">
        <v>84300000</v>
      </c>
      <c r="J71" s="78">
        <v>11200000</v>
      </c>
      <c r="K71" s="78">
        <v>8000000</v>
      </c>
      <c r="L71" s="78">
        <v>289773334</v>
      </c>
      <c r="M71" s="78">
        <v>58800000</v>
      </c>
      <c r="N71" s="79">
        <f t="shared" si="19"/>
        <v>452073334</v>
      </c>
      <c r="O71" s="79">
        <f t="shared" si="20"/>
        <v>798926666</v>
      </c>
    </row>
    <row r="72" spans="1:15">
      <c r="A72" s="9"/>
      <c r="B72" s="30" t="s">
        <v>201</v>
      </c>
      <c r="C72" s="57">
        <f>SUM(C66:C71)</f>
        <v>2570000000</v>
      </c>
      <c r="D72" s="57">
        <f>SUM(D66:D71)</f>
        <v>0</v>
      </c>
      <c r="E72" s="57">
        <f>SUM(E66:E71)</f>
        <v>0</v>
      </c>
      <c r="F72" s="57">
        <f>SUM(F66:F71)</f>
        <v>2079817986</v>
      </c>
      <c r="G72" s="57">
        <f>SUM(G66:G71)</f>
        <v>4649817986</v>
      </c>
      <c r="H72" s="57">
        <f t="shared" ref="H72:O72" si="21">SUM(H66:H71)</f>
        <v>0</v>
      </c>
      <c r="I72" s="57">
        <f t="shared" si="21"/>
        <v>117300000</v>
      </c>
      <c r="J72" s="57">
        <f t="shared" si="21"/>
        <v>19800000</v>
      </c>
      <c r="K72" s="57">
        <f t="shared" si="21"/>
        <v>115724640</v>
      </c>
      <c r="L72" s="57">
        <f t="shared" si="21"/>
        <v>878160735</v>
      </c>
      <c r="M72" s="57">
        <f t="shared" si="21"/>
        <v>192921229</v>
      </c>
      <c r="N72" s="70">
        <f t="shared" si="21"/>
        <v>1323906604</v>
      </c>
      <c r="O72" s="70">
        <f t="shared" si="21"/>
        <v>3325911382</v>
      </c>
    </row>
    <row r="73" spans="1:15" ht="15.75">
      <c r="A73" s="104" t="s">
        <v>256</v>
      </c>
      <c r="B73" s="104"/>
      <c r="C73" s="63">
        <f>C59+C64+C72</f>
        <v>9970000000</v>
      </c>
      <c r="D73" s="63">
        <f>D59+D64+D72</f>
        <v>365000000</v>
      </c>
      <c r="E73" s="63">
        <f>E59+E64+E72</f>
        <v>365000000</v>
      </c>
      <c r="F73" s="63">
        <f>F59+F64+F72</f>
        <v>2079817986</v>
      </c>
      <c r="G73" s="63">
        <f t="shared" ref="G73:O73" si="22">G59+G64+G72</f>
        <v>12049817986</v>
      </c>
      <c r="H73" s="63">
        <f t="shared" si="22"/>
        <v>447165025</v>
      </c>
      <c r="I73" s="63">
        <f t="shared" si="22"/>
        <v>845469026</v>
      </c>
      <c r="J73" s="63">
        <f t="shared" si="22"/>
        <v>593154210</v>
      </c>
      <c r="K73" s="63">
        <f t="shared" si="22"/>
        <v>774431139</v>
      </c>
      <c r="L73" s="63">
        <f t="shared" si="22"/>
        <v>1344748124</v>
      </c>
      <c r="M73" s="63">
        <f t="shared" si="22"/>
        <v>1139773343</v>
      </c>
      <c r="N73" s="86">
        <f t="shared" si="22"/>
        <v>5144740867</v>
      </c>
      <c r="O73" s="86">
        <f t="shared" si="22"/>
        <v>6905077119</v>
      </c>
    </row>
  </sheetData>
  <mergeCells count="15">
    <mergeCell ref="N1:N2"/>
    <mergeCell ref="O1:O2"/>
    <mergeCell ref="A73:B73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ING2012</vt:lpstr>
      <vt:lpstr>GASTOS 2012</vt:lpstr>
      <vt:lpstr>ING 2013</vt:lpstr>
      <vt:lpstr>GASTOS 2013</vt:lpstr>
      <vt:lpstr>ING2014</vt:lpstr>
      <vt:lpstr>GASTOS2014</vt:lpstr>
      <vt:lpstr>ING2015</vt:lpstr>
      <vt:lpstr>GASTOS 2015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FINANCIERA1</dc:creator>
  <cp:lastModifiedBy>FINANCIERA1</cp:lastModifiedBy>
  <dcterms:created xsi:type="dcterms:W3CDTF">2015-08-19T15:22:02Z</dcterms:created>
  <dcterms:modified xsi:type="dcterms:W3CDTF">2015-09-02T16:28:37Z</dcterms:modified>
</cp:coreProperties>
</file>