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3655" windowHeight="9975" activeTab="1"/>
  </bookViews>
  <sheets>
    <sheet name="Hoja1" sheetId="1" r:id="rId1"/>
    <sheet name="gastos" sheetId="2" r:id="rId2"/>
    <sheet name="ingresos" sheetId="3" r:id="rId3"/>
    <sheet name="COMPARATIVO 2015-2016" sheetId="5" r:id="rId4"/>
  </sheets>
  <definedNames>
    <definedName name="_xlnm._FilterDatabase" localSheetId="1" hidden="1">gastos!$A$1:$U$76</definedName>
  </definedNames>
  <calcPr calcId="125725"/>
</workbook>
</file>

<file path=xl/calcChain.xml><?xml version="1.0" encoding="utf-8"?>
<calcChain xmlns="http://schemas.openxmlformats.org/spreadsheetml/2006/main">
  <c r="U66" i="2"/>
  <c r="I28"/>
  <c r="D16"/>
  <c r="D13"/>
  <c r="D7"/>
  <c r="D6"/>
  <c r="E41"/>
  <c r="E24"/>
  <c r="E8"/>
  <c r="S30"/>
  <c r="T73" l="1"/>
  <c r="T72"/>
  <c r="T71"/>
  <c r="T70"/>
  <c r="T69"/>
  <c r="T68"/>
  <c r="T67"/>
  <c r="T64"/>
  <c r="T63"/>
  <c r="T62"/>
  <c r="T61"/>
  <c r="T60"/>
  <c r="T59"/>
  <c r="T58"/>
  <c r="T56"/>
  <c r="T55"/>
  <c r="T54"/>
  <c r="T52"/>
  <c r="T51"/>
  <c r="T50"/>
  <c r="T49"/>
  <c r="T46"/>
  <c r="T45"/>
  <c r="T44"/>
  <c r="T43"/>
  <c r="T42"/>
  <c r="T41"/>
  <c r="T39"/>
  <c r="T38"/>
  <c r="T36"/>
  <c r="T35"/>
  <c r="T34"/>
  <c r="T33"/>
  <c r="T32"/>
  <c r="T31"/>
  <c r="T26"/>
  <c r="T25"/>
  <c r="T24"/>
  <c r="T23"/>
  <c r="T21"/>
  <c r="T20"/>
  <c r="T19"/>
  <c r="T16"/>
  <c r="T15"/>
  <c r="T14"/>
  <c r="T12"/>
  <c r="T10"/>
  <c r="T9"/>
  <c r="T8"/>
  <c r="T7"/>
  <c r="T6"/>
  <c r="S53"/>
  <c r="S48"/>
  <c r="S37"/>
  <c r="S22"/>
  <c r="S17"/>
  <c r="S5"/>
  <c r="G64"/>
  <c r="E65"/>
  <c r="G65" s="1"/>
  <c r="J65"/>
  <c r="M65"/>
  <c r="M75" s="1"/>
  <c r="G66"/>
  <c r="L66"/>
  <c r="L75" s="1"/>
  <c r="E67"/>
  <c r="G67" s="1"/>
  <c r="E68"/>
  <c r="G68" s="1"/>
  <c r="G69"/>
  <c r="G70"/>
  <c r="E71"/>
  <c r="G71" s="1"/>
  <c r="G72"/>
  <c r="G73"/>
  <c r="D74"/>
  <c r="G74" s="1"/>
  <c r="S74"/>
  <c r="T74" s="1"/>
  <c r="C75"/>
  <c r="F75"/>
  <c r="H75"/>
  <c r="I75"/>
  <c r="K75"/>
  <c r="N75"/>
  <c r="O75"/>
  <c r="P75"/>
  <c r="Q75"/>
  <c r="R75"/>
  <c r="T65" l="1"/>
  <c r="T75" s="1"/>
  <c r="J75"/>
  <c r="D75"/>
  <c r="S75"/>
  <c r="T66"/>
  <c r="T30"/>
  <c r="S57"/>
  <c r="E75"/>
  <c r="G75"/>
  <c r="U75" l="1"/>
  <c r="S76"/>
  <c r="S58" i="3"/>
  <c r="S57"/>
  <c r="S56"/>
  <c r="S55"/>
  <c r="S54"/>
  <c r="S53"/>
  <c r="S51"/>
  <c r="S50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5"/>
  <c r="R5"/>
  <c r="R54"/>
  <c r="R52" s="1"/>
  <c r="R60" s="1"/>
  <c r="R48"/>
  <c r="R25"/>
  <c r="R23"/>
  <c r="R7"/>
  <c r="R61" l="1"/>
  <c r="F75" i="5" l="1"/>
  <c r="F53"/>
  <c r="F48"/>
  <c r="F37"/>
  <c r="F32"/>
  <c r="F30" s="1"/>
  <c r="F57" s="1"/>
  <c r="F76" s="1"/>
  <c r="F22"/>
  <c r="F17"/>
  <c r="F5"/>
  <c r="R53" i="2"/>
  <c r="R48"/>
  <c r="R37"/>
  <c r="R30"/>
  <c r="R22"/>
  <c r="R17"/>
  <c r="R5"/>
  <c r="Q7" i="3"/>
  <c r="Q21"/>
  <c r="Q23"/>
  <c r="Q52"/>
  <c r="Q48"/>
  <c r="R57" i="2" l="1"/>
  <c r="R76" s="1"/>
  <c r="Q61" i="3"/>
  <c r="Q60"/>
  <c r="Q53" i="2" l="1"/>
  <c r="Q48"/>
  <c r="Q37"/>
  <c r="Q30"/>
  <c r="Q17"/>
  <c r="Q5"/>
  <c r="Q22" l="1"/>
  <c r="Q57" s="1"/>
  <c r="Q76" s="1"/>
  <c r="D39"/>
  <c r="D32"/>
  <c r="D18"/>
  <c r="E55"/>
  <c r="E38"/>
  <c r="E33"/>
  <c r="E31"/>
  <c r="P54" i="3"/>
  <c r="P57"/>
  <c r="P56"/>
  <c r="P55"/>
  <c r="P23"/>
  <c r="P48" s="1"/>
  <c r="D19" i="2"/>
  <c r="E54"/>
  <c r="E52"/>
  <c r="E44"/>
  <c r="E36"/>
  <c r="E15"/>
  <c r="D11"/>
  <c r="P52" i="3" l="1"/>
  <c r="P60" s="1"/>
  <c r="P61"/>
  <c r="L40" i="2"/>
  <c r="T40" s="1"/>
  <c r="N11"/>
  <c r="T11" s="1"/>
  <c r="O57" i="3"/>
  <c r="O56"/>
  <c r="O53"/>
  <c r="O52" s="1"/>
  <c r="O60" s="1"/>
  <c r="O46"/>
  <c r="O37"/>
  <c r="O25"/>
  <c r="O23"/>
  <c r="O20"/>
  <c r="O8"/>
  <c r="O7"/>
  <c r="O48" s="1"/>
  <c r="O61" s="1"/>
  <c r="P53" i="2" l="1"/>
  <c r="P48"/>
  <c r="P37"/>
  <c r="P30"/>
  <c r="P22"/>
  <c r="P17"/>
  <c r="P5"/>
  <c r="T53"/>
  <c r="P57" l="1"/>
  <c r="P76" s="1"/>
  <c r="N13" l="1"/>
  <c r="T13" s="1"/>
  <c r="O53"/>
  <c r="O48"/>
  <c r="O37"/>
  <c r="O30"/>
  <c r="O22"/>
  <c r="O17"/>
  <c r="O5"/>
  <c r="S59" i="3"/>
  <c r="N57"/>
  <c r="N55"/>
  <c r="N54"/>
  <c r="N53"/>
  <c r="N52" s="1"/>
  <c r="N60" s="1"/>
  <c r="N23"/>
  <c r="O57" i="2" l="1"/>
  <c r="O76" s="1"/>
  <c r="N7" i="3"/>
  <c r="N48" s="1"/>
  <c r="N61" s="1"/>
  <c r="N53" i="2" l="1"/>
  <c r="N48"/>
  <c r="N37"/>
  <c r="N30"/>
  <c r="N22"/>
  <c r="N17"/>
  <c r="N5"/>
  <c r="N57" l="1"/>
  <c r="G11"/>
  <c r="D48"/>
  <c r="D53"/>
  <c r="G39"/>
  <c r="D31"/>
  <c r="D30" s="1"/>
  <c r="E49"/>
  <c r="G49" s="1"/>
  <c r="E30"/>
  <c r="E5"/>
  <c r="M52" i="3"/>
  <c r="M60"/>
  <c r="M54"/>
  <c r="M37"/>
  <c r="M26"/>
  <c r="M23"/>
  <c r="M8"/>
  <c r="M7"/>
  <c r="M48" s="1"/>
  <c r="M61" s="1"/>
  <c r="M18" i="2"/>
  <c r="T18" s="1"/>
  <c r="H27"/>
  <c r="T27" s="1"/>
  <c r="J28"/>
  <c r="G16"/>
  <c r="G15"/>
  <c r="G14"/>
  <c r="G13"/>
  <c r="G12"/>
  <c r="G10"/>
  <c r="G9"/>
  <c r="G8"/>
  <c r="G7"/>
  <c r="G6"/>
  <c r="G18"/>
  <c r="G19"/>
  <c r="G20"/>
  <c r="G21"/>
  <c r="G23"/>
  <c r="G24"/>
  <c r="G25"/>
  <c r="G26"/>
  <c r="G27"/>
  <c r="G28"/>
  <c r="G32"/>
  <c r="G33"/>
  <c r="G34"/>
  <c r="G35"/>
  <c r="G36"/>
  <c r="G38"/>
  <c r="G40"/>
  <c r="G41"/>
  <c r="E42"/>
  <c r="G42" s="1"/>
  <c r="G43"/>
  <c r="G44"/>
  <c r="G45"/>
  <c r="G46"/>
  <c r="G50"/>
  <c r="G51"/>
  <c r="G52"/>
  <c r="G54"/>
  <c r="G55"/>
  <c r="G56"/>
  <c r="H53"/>
  <c r="I53"/>
  <c r="J53"/>
  <c r="K53"/>
  <c r="L53"/>
  <c r="M53"/>
  <c r="T37"/>
  <c r="T5"/>
  <c r="M5"/>
  <c r="T48"/>
  <c r="L18" i="3"/>
  <c r="L52"/>
  <c r="L60" s="1"/>
  <c r="L23"/>
  <c r="L26"/>
  <c r="L48"/>
  <c r="L61" s="1"/>
  <c r="F22" i="2"/>
  <c r="F17"/>
  <c r="J58" i="3"/>
  <c r="H57"/>
  <c r="G55"/>
  <c r="I55"/>
  <c r="J55"/>
  <c r="K55"/>
  <c r="J54"/>
  <c r="G53"/>
  <c r="K53"/>
  <c r="K52" s="1"/>
  <c r="K60" s="1"/>
  <c r="G52"/>
  <c r="I52"/>
  <c r="J52"/>
  <c r="J60" s="1"/>
  <c r="H37"/>
  <c r="K28"/>
  <c r="G23"/>
  <c r="H23"/>
  <c r="I23"/>
  <c r="K23"/>
  <c r="I20"/>
  <c r="K20"/>
  <c r="K18"/>
  <c r="J10"/>
  <c r="G9"/>
  <c r="I9"/>
  <c r="I8"/>
  <c r="G7"/>
  <c r="H7"/>
  <c r="K7"/>
  <c r="G61" i="2"/>
  <c r="G60"/>
  <c r="G59"/>
  <c r="M22"/>
  <c r="M30"/>
  <c r="M37"/>
  <c r="M48"/>
  <c r="F48"/>
  <c r="F37"/>
  <c r="F30"/>
  <c r="F5"/>
  <c r="E51" i="3"/>
  <c r="L37" i="2"/>
  <c r="L5"/>
  <c r="L17"/>
  <c r="L22"/>
  <c r="L30"/>
  <c r="L48"/>
  <c r="K17"/>
  <c r="K5"/>
  <c r="K22"/>
  <c r="K30"/>
  <c r="K37"/>
  <c r="K48"/>
  <c r="J48" i="3"/>
  <c r="J61" s="1"/>
  <c r="F51"/>
  <c r="F19"/>
  <c r="F20"/>
  <c r="F21"/>
  <c r="F16"/>
  <c r="F17"/>
  <c r="F18"/>
  <c r="F22"/>
  <c r="F23"/>
  <c r="F5"/>
  <c r="F48" s="1"/>
  <c r="F61" s="1"/>
  <c r="F7"/>
  <c r="F8"/>
  <c r="F9"/>
  <c r="F10"/>
  <c r="F11"/>
  <c r="F12"/>
  <c r="F13"/>
  <c r="F14"/>
  <c r="F15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53"/>
  <c r="F52" s="1"/>
  <c r="F54"/>
  <c r="F55"/>
  <c r="F56"/>
  <c r="F57"/>
  <c r="F58"/>
  <c r="F59"/>
  <c r="E61"/>
  <c r="E60"/>
  <c r="F50"/>
  <c r="J5" i="2"/>
  <c r="J17"/>
  <c r="J30"/>
  <c r="J37"/>
  <c r="J48"/>
  <c r="D61" i="3"/>
  <c r="G48"/>
  <c r="G61" s="1"/>
  <c r="H48"/>
  <c r="I48"/>
  <c r="I61" s="1"/>
  <c r="I60"/>
  <c r="D22" i="2"/>
  <c r="D17"/>
  <c r="E22"/>
  <c r="C22"/>
  <c r="E17"/>
  <c r="I48"/>
  <c r="I37"/>
  <c r="I30"/>
  <c r="I17"/>
  <c r="I5"/>
  <c r="G60" i="3"/>
  <c r="H48" i="2"/>
  <c r="H37"/>
  <c r="H30"/>
  <c r="H17"/>
  <c r="H5"/>
  <c r="D60" i="3"/>
  <c r="C5" i="2"/>
  <c r="C53"/>
  <c r="C48"/>
  <c r="C37"/>
  <c r="C30"/>
  <c r="C17"/>
  <c r="B25" i="1"/>
  <c r="B32"/>
  <c r="B6"/>
  <c r="B9"/>
  <c r="B15"/>
  <c r="J22" i="2" l="1"/>
  <c r="J57" s="1"/>
  <c r="T28"/>
  <c r="H61" i="3"/>
  <c r="F60"/>
  <c r="K48"/>
  <c r="K61" s="1"/>
  <c r="S48"/>
  <c r="H52"/>
  <c r="H60" s="1"/>
  <c r="T17" i="2"/>
  <c r="I22"/>
  <c r="I57" s="1"/>
  <c r="I76" s="1"/>
  <c r="N76"/>
  <c r="D37"/>
  <c r="E53"/>
  <c r="E37"/>
  <c r="C57"/>
  <c r="C76" s="1"/>
  <c r="K57"/>
  <c r="K76" s="1"/>
  <c r="E48"/>
  <c r="F57"/>
  <c r="F76" s="1"/>
  <c r="U48"/>
  <c r="G5"/>
  <c r="U53"/>
  <c r="G53"/>
  <c r="U37"/>
  <c r="G22"/>
  <c r="D5"/>
  <c r="L57"/>
  <c r="G48"/>
  <c r="G31"/>
  <c r="H22"/>
  <c r="H57" s="1"/>
  <c r="H76" s="1"/>
  <c r="G37"/>
  <c r="G17"/>
  <c r="M17"/>
  <c r="M57" s="1"/>
  <c r="M76" s="1"/>
  <c r="T22" l="1"/>
  <c r="T57" s="1"/>
  <c r="T76" s="1"/>
  <c r="S52" i="3"/>
  <c r="S60" s="1"/>
  <c r="U17" i="2"/>
  <c r="D57"/>
  <c r="D76" s="1"/>
  <c r="J76"/>
  <c r="L76"/>
  <c r="E57"/>
  <c r="E76" s="1"/>
  <c r="U22"/>
  <c r="U30"/>
  <c r="G30"/>
  <c r="G57" s="1"/>
  <c r="G76" s="1"/>
  <c r="U5"/>
  <c r="S61" i="3" l="1"/>
  <c r="U57" i="2"/>
  <c r="U76" s="1"/>
</calcChain>
</file>

<file path=xl/comments1.xml><?xml version="1.0" encoding="utf-8"?>
<comments xmlns="http://schemas.openxmlformats.org/spreadsheetml/2006/main">
  <authors>
    <author>FINANCIERA1</author>
  </authors>
  <commentList>
    <comment ref="Q33" authorId="0">
      <text>
        <r>
          <rPr>
            <b/>
            <sz val="9"/>
            <color indexed="81"/>
            <rFont val="Tahoma"/>
            <family val="2"/>
          </rPr>
          <t>FINANCIERA1:</t>
        </r>
        <r>
          <rPr>
            <sz val="9"/>
            <color indexed="81"/>
            <rFont val="Tahoma"/>
            <family val="2"/>
          </rPr>
          <t xml:space="preserve">
LIBERACION RP AB00009 DE ABRIL 035-16 GASOLINA</t>
        </r>
      </text>
    </comment>
  </commentList>
</comments>
</file>

<file path=xl/sharedStrings.xml><?xml version="1.0" encoding="utf-8"?>
<sst xmlns="http://schemas.openxmlformats.org/spreadsheetml/2006/main" count="595" uniqueCount="341">
  <si>
    <t>INSPECCION DE TRANSITO Y TRANSPORTE DE BARRANCABERMEJA</t>
  </si>
  <si>
    <t>INGRESOS CORRIENTES</t>
  </si>
  <si>
    <t>INGRESOS TRIBUTARIOS</t>
  </si>
  <si>
    <t>INGRESOS NO TRIBUTARIOS</t>
  </si>
  <si>
    <t>RECURSOS DE CAPITAL</t>
  </si>
  <si>
    <t>RECURSOS DEL CREDITO</t>
  </si>
  <si>
    <t>RECURSOS DEL BALANCE</t>
  </si>
  <si>
    <t>RECUPERACION DE CARTERA</t>
  </si>
  <si>
    <t>RENDIMIENTO FINANCIERO</t>
  </si>
  <si>
    <t>VENTA ACTIVOS</t>
  </si>
  <si>
    <t>GASTOS DE FUNCIONAMIENTO</t>
  </si>
  <si>
    <t>DEUDA PUBLICA</t>
  </si>
  <si>
    <t>INVERSION:          MOVILIDAD Y TRANSPORTE PARA UNA ACCESIBILIDAD SEGURA Y EFICIENTE</t>
  </si>
  <si>
    <t>FUENTE:                RECURSOS PROPIOS</t>
  </si>
  <si>
    <t>MODERNIZACION Y MANTENIMIENTO RED SEMAFORIZACION</t>
  </si>
  <si>
    <t>SEÑALIZACION PARA MOVILIDAD EFICIENTE Y SEGURA</t>
  </si>
  <si>
    <t>CULTURA DE LA MOVILIDAD SEGURA</t>
  </si>
  <si>
    <t>PLAN MAESTRO DE  MOVILIDAD Y TRANSPORTE</t>
  </si>
  <si>
    <t>SERVICIO DE TRANSPORTE PUBLICO DE CALIDAD</t>
  </si>
  <si>
    <t>FORTALECIMIENTO INSTITUCIONAL</t>
  </si>
  <si>
    <t>PROYECTO PRESUPUESTO DE INGRESOS VIGENCIA 2.016</t>
  </si>
  <si>
    <t>PROYECTO PRESUPUESTO DE GASTOS VIGENCIA 2.016</t>
  </si>
  <si>
    <t>TOTAL PRESUPUESTO VIGENCIA 2.016</t>
  </si>
  <si>
    <t xml:space="preserve">CONCEPTO </t>
  </si>
  <si>
    <t xml:space="preserve">SERVICIOS PERSONALES </t>
  </si>
  <si>
    <t>SERVICIOS PERSONALES ASOCIADOS A LA NOMINA</t>
  </si>
  <si>
    <t>SUELDO PERSONAL DE NOMINA</t>
  </si>
  <si>
    <t>PRIMA DE NAVIDAD</t>
  </si>
  <si>
    <t>PRIMA DE VACACIONES</t>
  </si>
  <si>
    <t>INDEMNIZACION POR VACACIONES</t>
  </si>
  <si>
    <t>SUBSIDIO DE TRANSPORTE</t>
  </si>
  <si>
    <t>SEGURO DE VIDA</t>
  </si>
  <si>
    <t>JORNALES HORAS EXTRAS Y DEMAS PRES. SOCIALES</t>
  </si>
  <si>
    <t>TRABAJOS SUPLEMENTARIOS</t>
  </si>
  <si>
    <t>PRIMA DE SERVICIOS</t>
  </si>
  <si>
    <t xml:space="preserve">BONIFICACION POR SERVICIOS PRESTADOS </t>
  </si>
  <si>
    <t>BONIFICACION POR RECREACION</t>
  </si>
  <si>
    <t>SERVICIOS PERSONALES INDIRECTOS</t>
  </si>
  <si>
    <t>REMUNERACION POR SERVICIOS TECNICOS Y PROFESIONALES</t>
  </si>
  <si>
    <t>PAGO PERSONAL TEMPORAL Y SUPERNUMERARIO</t>
  </si>
  <si>
    <t>LEY 769 ART 160 (PROY. SEG. VIAL)</t>
  </si>
  <si>
    <t>OTROS GASTOS POR SERVICIOS PERSONALES</t>
  </si>
  <si>
    <t>CONTRIBUCIONES INHERENTES A LA NOMINA SECTOR PRIVADO</t>
  </si>
  <si>
    <t>CAJA DECOMPENSACIÒN FAMILIAR (4%)</t>
  </si>
  <si>
    <t>APORTES AL INST. COL. BIENESTAR FAMILIAR (3%)</t>
  </si>
  <si>
    <t>APORTES AL SENA (2%)</t>
  </si>
  <si>
    <t>APORTES A LA ESCUELA SUP. DE ADMON. PUBLICA</t>
  </si>
  <si>
    <t>APORTES A ESC. IND. E INST. TEC. DTAL. DIST. Y M/PALES</t>
  </si>
  <si>
    <t>APORTES A LA SEGURIDAD SOCIAL</t>
  </si>
  <si>
    <t>GASTOS GENERALES</t>
  </si>
  <si>
    <t>ADQUISICIÒN DE BIENES</t>
  </si>
  <si>
    <t>COMPRA DE EQUIPOS</t>
  </si>
  <si>
    <t>MATERIALES Y SUMINISTROS</t>
  </si>
  <si>
    <t>LEY 769 ART 160 (COMBUSTIBLE-EQUIPOS-DOTACION PROY SEG VIAL)</t>
  </si>
  <si>
    <t>IMPRESOS Y PUBLICACIONES</t>
  </si>
  <si>
    <t>30502180404A</t>
  </si>
  <si>
    <t>GASTOS IMPREVISTOS</t>
  </si>
  <si>
    <t>ESPECIES VENALES</t>
  </si>
  <si>
    <t>ADQUISICIÒN DE SERVICIOS</t>
  </si>
  <si>
    <t>COMUNICACIONES Y TRANSPORTE</t>
  </si>
  <si>
    <t>MANTENIMIENTO</t>
  </si>
  <si>
    <t>SEGUROS</t>
  </si>
  <si>
    <t>SERVICIOS PUBLICOS</t>
  </si>
  <si>
    <t>VIATICOS Y GASTOS DE VIAJE</t>
  </si>
  <si>
    <t xml:space="preserve">ARRENDAMIENTO DE BIENES E INMUEBLES </t>
  </si>
  <si>
    <t>IMPUESTOS, TASAS, MULTAS Y REVISIONES</t>
  </si>
  <si>
    <t>GASTOS FINANCIEROS</t>
  </si>
  <si>
    <t>OTROS GASTOS GENERALES</t>
  </si>
  <si>
    <t>TRANSFERENCIAS CORRIENTES</t>
  </si>
  <si>
    <t>TRANSFERENCIAS DE PREVISIÒN Y SEGURIDAD SOCIAL</t>
  </si>
  <si>
    <t>MESADA PENSIONAL</t>
  </si>
  <si>
    <t>BONO PENSIONAL</t>
  </si>
  <si>
    <t>CESANTIAS</t>
  </si>
  <si>
    <t>INTERESES DE CESANTIAS</t>
  </si>
  <si>
    <t>OTRAS TRANSFERENCIAS CORRIENTES</t>
  </si>
  <si>
    <t>CUMP. DE SENTENCIAS TRANSACCIONES CURADURIAS</t>
  </si>
  <si>
    <t>GASTOS DE CAPACITACION BIENESTAR SOCIAL E INCENTIVOS</t>
  </si>
  <si>
    <t>PACTOS CONVENCIONALES</t>
  </si>
  <si>
    <t xml:space="preserve">TOTAL GASTOS DE FUNCIONAMIENTO </t>
  </si>
  <si>
    <t>SERVICIO DE LA DEUDA PUBLICA</t>
  </si>
  <si>
    <t>AMORTIZACIÒN DE CAPITAL</t>
  </si>
  <si>
    <t>INTERESES, COMISIONES Y DEMAS EROGACIONES DE LA DEUDA</t>
  </si>
  <si>
    <t>TOTAL DEUDA PUBLICA DE LA I.T.T.B</t>
  </si>
  <si>
    <t>GASTOS DE INVERSION</t>
  </si>
  <si>
    <t>TOTAL GASTOS DE INVERSION</t>
  </si>
  <si>
    <t>PPTO 2016</t>
  </si>
  <si>
    <t>TOTAL PRESUPUESTO 2016</t>
  </si>
  <si>
    <t>DETALLE</t>
  </si>
  <si>
    <t>1.1.1</t>
  </si>
  <si>
    <t>IMP. SOBRE VEHICULOS AUTOMOTORES</t>
  </si>
  <si>
    <t>1.2.1</t>
  </si>
  <si>
    <t>MULTAS</t>
  </si>
  <si>
    <t>1.2.2</t>
  </si>
  <si>
    <t>LICENCIA DE CONDUCION</t>
  </si>
  <si>
    <t>1.2.3</t>
  </si>
  <si>
    <t>PERMISOS</t>
  </si>
  <si>
    <t>1.2.4</t>
  </si>
  <si>
    <t xml:space="preserve">FACTURACION </t>
  </si>
  <si>
    <t>1.2.5</t>
  </si>
  <si>
    <t>AVALUOS</t>
  </si>
  <si>
    <t>1.2.6</t>
  </si>
  <si>
    <t>LEVANTAMIENTO DE CROQUIS</t>
  </si>
  <si>
    <t>1.2.7</t>
  </si>
  <si>
    <t>SERVICIO DE GRUA</t>
  </si>
  <si>
    <t>1.2.8</t>
  </si>
  <si>
    <t xml:space="preserve">CHEQUEOS </t>
  </si>
  <si>
    <t>1.2.9</t>
  </si>
  <si>
    <t>MATRICULAS</t>
  </si>
  <si>
    <t>1.2.10</t>
  </si>
  <si>
    <t>PORTE Y TELEGRAMAS</t>
  </si>
  <si>
    <t>1.2.11</t>
  </si>
  <si>
    <t>PORTE DE PLACAS</t>
  </si>
  <si>
    <t>1.2.12</t>
  </si>
  <si>
    <t>TRASPASO</t>
  </si>
  <si>
    <t>1.2.13</t>
  </si>
  <si>
    <t>RADICACION DE CUENTA</t>
  </si>
  <si>
    <t>1.2.14</t>
  </si>
  <si>
    <t>CERTIFICACIONES</t>
  </si>
  <si>
    <t>1.2.15</t>
  </si>
  <si>
    <t>GARAJE Y PARQUEO</t>
  </si>
  <si>
    <t>1.2.16</t>
  </si>
  <si>
    <t>CAMBIO DE SERVICIO</t>
  </si>
  <si>
    <t>1.2.17</t>
  </si>
  <si>
    <t>EMBARGOS Y DESEMBARGOS</t>
  </si>
  <si>
    <t>1.2.18</t>
  </si>
  <si>
    <t>SERVICIO DE ALFEREZ</t>
  </si>
  <si>
    <t>1.2.19</t>
  </si>
  <si>
    <t>PIGNORACION-DESPIGNORACION</t>
  </si>
  <si>
    <t>1.2.20</t>
  </si>
  <si>
    <t>CAMBIO DE CARACTERISTICAS</t>
  </si>
  <si>
    <t>1.2.21</t>
  </si>
  <si>
    <t>DUPLICADO DE LICENCIAS</t>
  </si>
  <si>
    <t>1.2.22</t>
  </si>
  <si>
    <t>REGRABACION DE MOTOR</t>
  </si>
  <si>
    <t>1.2.23</t>
  </si>
  <si>
    <t>CAMBIO DE COLOR</t>
  </si>
  <si>
    <t>1.2.24</t>
  </si>
  <si>
    <t>PRUEBA DE ALCOHOLEMIA</t>
  </si>
  <si>
    <t>1.2.25</t>
  </si>
  <si>
    <t>DUPLICADO DE PLACAS</t>
  </si>
  <si>
    <t>1.2.26</t>
  </si>
  <si>
    <t>CAMBIO DE PLACAS</t>
  </si>
  <si>
    <t>1.2.27</t>
  </si>
  <si>
    <t>CAMBIO DE EMPRESA</t>
  </si>
  <si>
    <t>1.2.28</t>
  </si>
  <si>
    <t>CAPACIDAD TRANSPORTADORA DISP.</t>
  </si>
  <si>
    <t>1.2.29</t>
  </si>
  <si>
    <t>TARJETA DE OPERACION</t>
  </si>
  <si>
    <t>1.2.30</t>
  </si>
  <si>
    <t>EXPETICIO TECNICO</t>
  </si>
  <si>
    <t>1.2.31</t>
  </si>
  <si>
    <t>FOTOCOPIAS CERTIFICACIONES</t>
  </si>
  <si>
    <t>1.2.32</t>
  </si>
  <si>
    <t>INTERESES MORATORIOS</t>
  </si>
  <si>
    <t>1.2.33</t>
  </si>
  <si>
    <t>REFACTURACION</t>
  </si>
  <si>
    <t>1.2.34</t>
  </si>
  <si>
    <t>SIN PENDIENTE</t>
  </si>
  <si>
    <t>1.2.35</t>
  </si>
  <si>
    <t>CONVENIOS</t>
  </si>
  <si>
    <t>1.2.38</t>
  </si>
  <si>
    <t>REPOTENCIACIÓN</t>
  </si>
  <si>
    <t>1.2.39</t>
  </si>
  <si>
    <t>CANCELACION MATRICULA</t>
  </si>
  <si>
    <t>1.2.40</t>
  </si>
  <si>
    <t>DEMARCACIONES</t>
  </si>
  <si>
    <t>1.2.41</t>
  </si>
  <si>
    <t>F.U.N.</t>
  </si>
  <si>
    <t>1.2.42</t>
  </si>
  <si>
    <t>REGISTROS</t>
  </si>
  <si>
    <t>1.2.43</t>
  </si>
  <si>
    <t>OTROS INGRESOS</t>
  </si>
  <si>
    <t>TOTAL INGRESOS CORRIENTES DE LA I.T.T.B</t>
  </si>
  <si>
    <t>RECURSOS DEL CAPITAL</t>
  </si>
  <si>
    <t>2.3.1</t>
  </si>
  <si>
    <t>Recuperacion cartera  comparendos</t>
  </si>
  <si>
    <t>2.3.2</t>
  </si>
  <si>
    <t>Recuperacion cartera  itereses</t>
  </si>
  <si>
    <t>2.3.3</t>
  </si>
  <si>
    <t>Recuperacion cartera honorarios costas</t>
  </si>
  <si>
    <t>2.3.4</t>
  </si>
  <si>
    <t>Recuperacion cartera porte de placas</t>
  </si>
  <si>
    <t>2.3.5</t>
  </si>
  <si>
    <t>Recuperacion cartera Sistematizacion y Facturacion</t>
  </si>
  <si>
    <t>TOTAL INGRESOS CAPITAL DE LA I.T.T.B</t>
  </si>
  <si>
    <t xml:space="preserve"> PPTO 2016</t>
  </si>
  <si>
    <t>TOTAL PRESUPUESTO INGRESOS 2016</t>
  </si>
  <si>
    <t>TRASLADOS  PPTALES</t>
  </si>
  <si>
    <t>ADICION</t>
  </si>
  <si>
    <t>CREDITOS</t>
  </si>
  <si>
    <t>C.CREDITOS</t>
  </si>
  <si>
    <t>COMPROMETIDO ENERO</t>
  </si>
  <si>
    <t>ADICION PRESUPUETAL</t>
  </si>
  <si>
    <t>PRESUPUESTO AJUSTADO</t>
  </si>
  <si>
    <t>RECAUDO ENERO 2016</t>
  </si>
  <si>
    <t>CODIGO PRESUPUESTAL</t>
  </si>
  <si>
    <t>CODIGO PPTAL WIMAX</t>
  </si>
  <si>
    <t>0.3.31.</t>
  </si>
  <si>
    <t>0.3.31.01</t>
  </si>
  <si>
    <t>0.3.31.01.01</t>
  </si>
  <si>
    <t>0.3.31.01.02</t>
  </si>
  <si>
    <t>0.3.31.01.03</t>
  </si>
  <si>
    <t>0.3.31.01.04</t>
  </si>
  <si>
    <t>0.3.31.01.05</t>
  </si>
  <si>
    <t>0.3.31.01.06</t>
  </si>
  <si>
    <t>0.3.31.01.07</t>
  </si>
  <si>
    <t>0.3.31.01.08</t>
  </si>
  <si>
    <t>0.3.31.01.12</t>
  </si>
  <si>
    <t>0.3.31.01.13</t>
  </si>
  <si>
    <t>0.3.31.08</t>
  </si>
  <si>
    <t>0.3.31.07</t>
  </si>
  <si>
    <t>0.3.31.11</t>
  </si>
  <si>
    <t>0.3.31.01.11</t>
  </si>
  <si>
    <t>0.3.31.16</t>
  </si>
  <si>
    <t>0.3.31.17</t>
  </si>
  <si>
    <t>0.3.31.18</t>
  </si>
  <si>
    <t>0.3.31.19</t>
  </si>
  <si>
    <t>0.3.34.12.01</t>
  </si>
  <si>
    <t>0.3.34.12.03</t>
  </si>
  <si>
    <t>0.3.32.03</t>
  </si>
  <si>
    <t>0.3.32.06</t>
  </si>
  <si>
    <t>0.3.32.90.03</t>
  </si>
  <si>
    <t>0.3.32.09</t>
  </si>
  <si>
    <t>0.3.32.19</t>
  </si>
  <si>
    <t>0.3.32.90.01</t>
  </si>
  <si>
    <t>0.3.32.08</t>
  </si>
  <si>
    <t>0.3.32.07</t>
  </si>
  <si>
    <t>0.3.32.11.02</t>
  </si>
  <si>
    <t>0.3.32.10</t>
  </si>
  <si>
    <t>0.3.32.13</t>
  </si>
  <si>
    <t>0.3.32.12.01</t>
  </si>
  <si>
    <t>0.3.32.01.01</t>
  </si>
  <si>
    <t>0.3.32.24</t>
  </si>
  <si>
    <t>0.3.32.90.02</t>
  </si>
  <si>
    <t>0.3.31.01.09</t>
  </si>
  <si>
    <t>0.3.31.01.10</t>
  </si>
  <si>
    <t>0.3.34.11</t>
  </si>
  <si>
    <t>.03.34.12.02</t>
  </si>
  <si>
    <t>0.3.32.23.01</t>
  </si>
  <si>
    <t>0.3.32.16.01</t>
  </si>
  <si>
    <t>0.3.32.23.02</t>
  </si>
  <si>
    <t>0.5.60.90.01.01</t>
  </si>
  <si>
    <t>0.5.60.90.01.02</t>
  </si>
  <si>
    <t>0.5.60.90.01.03</t>
  </si>
  <si>
    <t>0.5.60.90.01.04</t>
  </si>
  <si>
    <t>0.5.60.90.01.05</t>
  </si>
  <si>
    <t>0.5.60.90.01.06</t>
  </si>
  <si>
    <t>0.4.25</t>
  </si>
  <si>
    <t>0.4.25.02</t>
  </si>
  <si>
    <t>0.4.25.03</t>
  </si>
  <si>
    <t>COMPROMETIDO FEBRERO</t>
  </si>
  <si>
    <t>CODIGO PPTAL</t>
  </si>
  <si>
    <t>CODIGO WIMAX</t>
  </si>
  <si>
    <t>0.2.02.30</t>
  </si>
  <si>
    <t>0.2.03.90.01</t>
  </si>
  <si>
    <t>0.2.03.90.02</t>
  </si>
  <si>
    <t>0.2.03.90.03</t>
  </si>
  <si>
    <t>0.2.03.90.04</t>
  </si>
  <si>
    <t>0.2.03.90.05</t>
  </si>
  <si>
    <t>0.2.03.90.06</t>
  </si>
  <si>
    <t>0.2.03.90.07</t>
  </si>
  <si>
    <t>0.2.03.90.08</t>
  </si>
  <si>
    <t>0.2.03.90.09</t>
  </si>
  <si>
    <t>0.2.03.90.10</t>
  </si>
  <si>
    <t>0.2.03.90.11</t>
  </si>
  <si>
    <t>0.2.03.90.12</t>
  </si>
  <si>
    <t>0.2.03.90.13</t>
  </si>
  <si>
    <t>0.2.03.90.14</t>
  </si>
  <si>
    <t>0.2.03.90.15</t>
  </si>
  <si>
    <t>0.2.03.90.16</t>
  </si>
  <si>
    <t>0.2.03.90.17</t>
  </si>
  <si>
    <t>0.2.03.90.18</t>
  </si>
  <si>
    <t>0.2.03.90.19</t>
  </si>
  <si>
    <t>0.2.03.90.20</t>
  </si>
  <si>
    <t>0.2.03.90.21</t>
  </si>
  <si>
    <t>0.2.03.90.22</t>
  </si>
  <si>
    <t>0.2.03.90.23</t>
  </si>
  <si>
    <t>0.2.03.90.24</t>
  </si>
  <si>
    <t>0.2.03.90.25</t>
  </si>
  <si>
    <t>0.2.03.90.26</t>
  </si>
  <si>
    <t>0.2.03.90.27</t>
  </si>
  <si>
    <t>0.2.03.90.28</t>
  </si>
  <si>
    <t>0.2.03.90.30</t>
  </si>
  <si>
    <t>0.2.03.90.32</t>
  </si>
  <si>
    <t>0.2.03.90.33</t>
  </si>
  <si>
    <t>0.2.03.90.34</t>
  </si>
  <si>
    <t>0.2.03.90.35</t>
  </si>
  <si>
    <t>0.2.03.90.36</t>
  </si>
  <si>
    <t>0.2.03.90.37</t>
  </si>
  <si>
    <t>0.2.03.90.38</t>
  </si>
  <si>
    <t>0.2.03.90.39</t>
  </si>
  <si>
    <t>0.2.03.90.40</t>
  </si>
  <si>
    <t>0.2.03.90.41</t>
  </si>
  <si>
    <t>0.2.03.01.01</t>
  </si>
  <si>
    <t>0.2.03.01.02</t>
  </si>
  <si>
    <t>0.2.07.90.02</t>
  </si>
  <si>
    <t>0.2.07.37</t>
  </si>
  <si>
    <t>0.2.07.19</t>
  </si>
  <si>
    <t>0.2.07.90.03</t>
  </si>
  <si>
    <t>0.2.07.37.01</t>
  </si>
  <si>
    <t>0.2.07.37.02</t>
  </si>
  <si>
    <t>0.2.07.37.03</t>
  </si>
  <si>
    <t>0.2.07.37.04</t>
  </si>
  <si>
    <t>0.2.07.37.05</t>
  </si>
  <si>
    <t>COMPROMETIDO MARZO</t>
  </si>
  <si>
    <t>RECAUDO FEBRERO 2016</t>
  </si>
  <si>
    <t>RECAUDO MARZO 2016</t>
  </si>
  <si>
    <t>RECAUDO ABRIL 2016</t>
  </si>
  <si>
    <t>RECAUDO MAYO 2016</t>
  </si>
  <si>
    <t>COMPROMETIDO ABRIL</t>
  </si>
  <si>
    <t>COMPROMETIDO MAYO</t>
  </si>
  <si>
    <t>COMPROMETIDO JUNIO</t>
  </si>
  <si>
    <t>RECAUDO JUNIO 2016</t>
  </si>
  <si>
    <t xml:space="preserve"> PRESUPUESTO 
AJUSTADO 2016</t>
  </si>
  <si>
    <t>COMPROMETIDO JULIO</t>
  </si>
  <si>
    <t>RECAUDO JULIO 2016</t>
  </si>
  <si>
    <t>PLAN DE MOVILIDAD URBANA SOSTENIBLE</t>
  </si>
  <si>
    <t>SISTEMA INTEGRAL DE CONTROL DE TRAFICO</t>
  </si>
  <si>
    <t>EQUIPAMENTO URBANO Y LOGISTICO PARA EL TRANSPORTE</t>
  </si>
  <si>
    <t>FORTALECIMIENTO INSTITUCIONAL DE LA ITTB</t>
  </si>
  <si>
    <t>RECAUDO AGOSTO 2016</t>
  </si>
  <si>
    <t>COMPROMETIDO AGOSTO</t>
  </si>
  <si>
    <t>COMPROMETIDO SEPTIEMBRE</t>
  </si>
  <si>
    <t>RECAUDO SEPTIEMBRE 2016</t>
  </si>
  <si>
    <t>RECAUDO ENERO A SEPTIEMBRE 2016</t>
  </si>
  <si>
    <t>PERSONAL TEMPORAL Y SUPERNUMERARIO</t>
  </si>
  <si>
    <t>RECAUDO ENERO SEPTIEMBRE 2015</t>
  </si>
  <si>
    <t>COMPROMETIDO  ENERO-SEPTIEMBRE 2016</t>
  </si>
  <si>
    <t>COMPROMETIDO ENERO-SEPTIEMBRE 2015</t>
  </si>
  <si>
    <t>RECAUDO OCTUBRE2016</t>
  </si>
  <si>
    <t xml:space="preserve">   </t>
  </si>
  <si>
    <t>COMPROMETIDO OCTUBRE</t>
  </si>
  <si>
    <t>.</t>
  </si>
  <si>
    <t>RECAUDO NOVIEMBRE 2016</t>
  </si>
  <si>
    <t>PAGOS ENERO A OCTUBRE</t>
  </si>
  <si>
    <t>COMPROMETIDO NOVIEMBRE</t>
  </si>
  <si>
    <t>RECAUDO DICIEMBRE 2016</t>
  </si>
  <si>
    <t>RECAUDO ENERO A DICIEMBRE 2016</t>
  </si>
  <si>
    <t>COMPROMETIDO DICIEMBRE</t>
  </si>
  <si>
    <t xml:space="preserve">COMPROMETIDO ENERO A DICIEMBRE </t>
  </si>
  <si>
    <t>PAGOS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</si>
</sst>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  <numFmt numFmtId="166" formatCode="#,##0;[Red]#,##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6"/>
      <name val="Bernard MT Condensed"/>
      <family val="1"/>
    </font>
    <font>
      <sz val="10"/>
      <name val="Arial Black"/>
      <family val="2"/>
    </font>
    <font>
      <sz val="8"/>
      <name val="Arial"/>
      <family val="2"/>
    </font>
    <font>
      <b/>
      <sz val="12"/>
      <name val="Arial Rounded MT Bold"/>
      <family val="2"/>
    </font>
    <font>
      <b/>
      <sz val="10"/>
      <name val="Arial Black"/>
      <family val="2"/>
    </font>
    <font>
      <sz val="8"/>
      <name val="Arial Black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6" tint="0.79998168889431442"/>
        <bgColor auto="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left"/>
    </xf>
    <xf numFmtId="4" fontId="4" fillId="2" borderId="1" xfId="0" applyNumberFormat="1" applyFont="1" applyFill="1" applyBorder="1"/>
    <xf numFmtId="0" fontId="5" fillId="2" borderId="1" xfId="0" applyFont="1" applyFill="1" applyBorder="1"/>
    <xf numFmtId="4" fontId="5" fillId="2" borderId="1" xfId="0" applyNumberFormat="1" applyFont="1" applyFill="1" applyBorder="1"/>
    <xf numFmtId="0" fontId="5" fillId="2" borderId="1" xfId="0" applyFont="1" applyFill="1" applyBorder="1" applyAlignment="1">
      <alignment horizontal="left"/>
    </xf>
    <xf numFmtId="164" fontId="5" fillId="2" borderId="1" xfId="1" applyNumberFormat="1" applyFont="1" applyFill="1" applyBorder="1" applyAlignment="1">
      <alignment horizontal="left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0" fillId="2" borderId="0" xfId="0" applyFill="1"/>
    <xf numFmtId="4" fontId="7" fillId="2" borderId="1" xfId="0" applyNumberFormat="1" applyFont="1" applyFill="1" applyBorder="1"/>
    <xf numFmtId="0" fontId="4" fillId="2" borderId="1" xfId="0" applyFont="1" applyFill="1" applyBorder="1"/>
    <xf numFmtId="0" fontId="8" fillId="2" borderId="2" xfId="0" applyFont="1" applyFill="1" applyBorder="1" applyAlignment="1">
      <alignment horizontal="left" vertical="center" wrapText="1"/>
    </xf>
    <xf numFmtId="0" fontId="5" fillId="0" borderId="1" xfId="0" applyFont="1" applyBorder="1"/>
    <xf numFmtId="0" fontId="12" fillId="0" borderId="1" xfId="0" applyFont="1" applyBorder="1" applyAlignment="1">
      <alignment horizontal="left"/>
    </xf>
    <xf numFmtId="0" fontId="0" fillId="0" borderId="1" xfId="0" applyBorder="1"/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4" fontId="13" fillId="0" borderId="1" xfId="0" applyNumberFormat="1" applyFont="1" applyBorder="1"/>
    <xf numFmtId="0" fontId="0" fillId="3" borderId="1" xfId="0" applyFill="1" applyBorder="1"/>
    <xf numFmtId="0" fontId="11" fillId="3" borderId="1" xfId="0" applyFont="1" applyFill="1" applyBorder="1" applyAlignment="1">
      <alignment horizontal="left"/>
    </xf>
    <xf numFmtId="4" fontId="14" fillId="4" borderId="1" xfId="0" applyNumberFormat="1" applyFont="1" applyFill="1" applyBorder="1"/>
    <xf numFmtId="4" fontId="16" fillId="0" borderId="1" xfId="0" applyNumberFormat="1" applyFont="1" applyBorder="1"/>
    <xf numFmtId="0" fontId="5" fillId="0" borderId="1" xfId="0" applyFont="1" applyFill="1" applyBorder="1" applyAlignment="1">
      <alignment horizontal="left"/>
    </xf>
    <xf numFmtId="165" fontId="9" fillId="0" borderId="1" xfId="0" applyNumberFormat="1" applyFont="1" applyBorder="1"/>
    <xf numFmtId="165" fontId="0" fillId="0" borderId="1" xfId="0" applyNumberFormat="1" applyBorder="1"/>
    <xf numFmtId="165" fontId="10" fillId="0" borderId="1" xfId="0" applyNumberFormat="1" applyFont="1" applyBorder="1"/>
    <xf numFmtId="165" fontId="0" fillId="0" borderId="1" xfId="1" applyNumberFormat="1" applyFont="1" applyBorder="1"/>
    <xf numFmtId="4" fontId="0" fillId="0" borderId="1" xfId="0" applyNumberFormat="1" applyBorder="1"/>
    <xf numFmtId="0" fontId="1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165" fontId="17" fillId="5" borderId="1" xfId="0" applyNumberFormat="1" applyFont="1" applyFill="1" applyBorder="1"/>
    <xf numFmtId="0" fontId="0" fillId="0" borderId="0" xfId="0" applyAlignment="1">
      <alignment wrapText="1"/>
    </xf>
    <xf numFmtId="165" fontId="0" fillId="2" borderId="1" xfId="0" applyNumberFormat="1" applyFill="1" applyBorder="1"/>
    <xf numFmtId="44" fontId="0" fillId="0" borderId="1" xfId="0" applyNumberFormat="1" applyBorder="1"/>
    <xf numFmtId="0" fontId="0" fillId="0" borderId="1" xfId="0" applyFont="1" applyBorder="1"/>
    <xf numFmtId="0" fontId="18" fillId="0" borderId="1" xfId="0" applyFont="1" applyBorder="1"/>
    <xf numFmtId="0" fontId="0" fillId="2" borderId="1" xfId="0" applyFont="1" applyFill="1" applyBorder="1"/>
    <xf numFmtId="4" fontId="0" fillId="2" borderId="1" xfId="0" applyNumberFormat="1" applyFill="1" applyBorder="1"/>
    <xf numFmtId="4" fontId="9" fillId="0" borderId="1" xfId="0" applyNumberFormat="1" applyFont="1" applyBorder="1"/>
    <xf numFmtId="4" fontId="0" fillId="0" borderId="1" xfId="1" applyNumberFormat="1" applyFont="1" applyBorder="1"/>
    <xf numFmtId="165" fontId="0" fillId="0" borderId="0" xfId="0" applyNumberFormat="1"/>
    <xf numFmtId="4" fontId="0" fillId="0" borderId="0" xfId="0" applyNumberFormat="1"/>
    <xf numFmtId="0" fontId="9" fillId="0" borderId="0" xfId="0" applyFont="1"/>
    <xf numFmtId="165" fontId="0" fillId="0" borderId="1" xfId="0" applyNumberFormat="1" applyFill="1" applyBorder="1"/>
    <xf numFmtId="43" fontId="17" fillId="5" borderId="1" xfId="1" applyFont="1" applyFill="1" applyBorder="1"/>
    <xf numFmtId="43" fontId="0" fillId="0" borderId="1" xfId="1" applyFont="1" applyBorder="1"/>
    <xf numFmtId="43" fontId="10" fillId="0" borderId="1" xfId="1" applyFont="1" applyBorder="1"/>
    <xf numFmtId="0" fontId="19" fillId="7" borderId="1" xfId="0" applyFont="1" applyFill="1" applyBorder="1" applyAlignment="1">
      <alignment horizontal="center"/>
    </xf>
    <xf numFmtId="3" fontId="0" fillId="0" borderId="1" xfId="0" applyNumberFormat="1" applyBorder="1"/>
    <xf numFmtId="43" fontId="0" fillId="0" borderId="0" xfId="0" applyNumberFormat="1" applyAlignment="1">
      <alignment wrapText="1"/>
    </xf>
    <xf numFmtId="4" fontId="13" fillId="0" borderId="0" xfId="0" applyNumberFormat="1" applyFont="1" applyBorder="1"/>
    <xf numFmtId="43" fontId="9" fillId="0" borderId="1" xfId="1" applyFont="1" applyBorder="1"/>
    <xf numFmtId="43" fontId="0" fillId="0" borderId="1" xfId="0" applyNumberFormat="1" applyBorder="1"/>
    <xf numFmtId="166" fontId="0" fillId="0" borderId="1" xfId="0" applyNumberFormat="1" applyBorder="1"/>
    <xf numFmtId="43" fontId="0" fillId="0" borderId="0" xfId="0" applyNumberFormat="1"/>
    <xf numFmtId="43" fontId="0" fillId="2" borderId="1" xfId="1" applyFont="1" applyFill="1" applyBorder="1"/>
    <xf numFmtId="165" fontId="0" fillId="0" borderId="0" xfId="1" applyNumberFormat="1" applyFont="1"/>
    <xf numFmtId="165" fontId="9" fillId="0" borderId="1" xfId="1" applyNumberFormat="1" applyFont="1" applyBorder="1"/>
    <xf numFmtId="0" fontId="9" fillId="0" borderId="1" xfId="0" applyFont="1" applyBorder="1"/>
    <xf numFmtId="3" fontId="0" fillId="0" borderId="0" xfId="0" applyNumberFormat="1"/>
    <xf numFmtId="0" fontId="2" fillId="0" borderId="0" xfId="0" applyFont="1" applyAlignment="1">
      <alignment horizontal="center"/>
    </xf>
    <xf numFmtId="0" fontId="19" fillId="6" borderId="3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9" fillId="6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/>
    </xf>
    <xf numFmtId="0" fontId="11" fillId="8" borderId="3" xfId="0" applyFont="1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Fill="1" applyBorder="1"/>
    <xf numFmtId="0" fontId="0" fillId="0" borderId="0" xfId="0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32"/>
  <sheetViews>
    <sheetView workbookViewId="0">
      <selection sqref="A1:B33"/>
    </sheetView>
  </sheetViews>
  <sheetFormatPr baseColWidth="10" defaultRowHeight="15"/>
  <cols>
    <col min="1" max="1" width="48.140625" customWidth="1"/>
    <col min="2" max="2" width="35.85546875" customWidth="1"/>
  </cols>
  <sheetData>
    <row r="3" spans="1:2" ht="15.75">
      <c r="A3" s="62" t="s">
        <v>0</v>
      </c>
      <c r="B3" s="62"/>
    </row>
    <row r="4" spans="1:2" ht="15.75">
      <c r="A4" s="62" t="s">
        <v>20</v>
      </c>
      <c r="B4" s="62"/>
    </row>
    <row r="5" spans="1:2" ht="19.5">
      <c r="A5" s="1"/>
    </row>
    <row r="6" spans="1:2" ht="15.75">
      <c r="A6" s="2" t="s">
        <v>1</v>
      </c>
      <c r="B6" s="3">
        <f>B7+B8</f>
        <v>7970000000</v>
      </c>
    </row>
    <row r="7" spans="1:2">
      <c r="A7" s="4" t="s">
        <v>2</v>
      </c>
      <c r="B7" s="5">
        <v>1300000000</v>
      </c>
    </row>
    <row r="8" spans="1:2">
      <c r="A8" s="4" t="s">
        <v>3</v>
      </c>
      <c r="B8" s="5">
        <v>6670000000</v>
      </c>
    </row>
    <row r="9" spans="1:2" ht="15.75">
      <c r="A9" s="2" t="s">
        <v>4</v>
      </c>
      <c r="B9" s="3">
        <f>B11+B12+B13+B14</f>
        <v>2980000000</v>
      </c>
    </row>
    <row r="10" spans="1:2">
      <c r="A10" s="6" t="s">
        <v>5</v>
      </c>
      <c r="B10" s="5">
        <v>0</v>
      </c>
    </row>
    <row r="11" spans="1:2">
      <c r="A11" s="6" t="s">
        <v>6</v>
      </c>
      <c r="B11" s="5">
        <v>220000000</v>
      </c>
    </row>
    <row r="12" spans="1:2">
      <c r="A12" s="6" t="s">
        <v>7</v>
      </c>
      <c r="B12" s="5">
        <v>2753000000</v>
      </c>
    </row>
    <row r="13" spans="1:2">
      <c r="A13" s="6" t="s">
        <v>8</v>
      </c>
      <c r="B13" s="7">
        <v>6000000</v>
      </c>
    </row>
    <row r="14" spans="1:2">
      <c r="A14" s="6" t="s">
        <v>9</v>
      </c>
      <c r="B14" s="5">
        <v>1000000</v>
      </c>
    </row>
    <row r="15" spans="1:2" ht="15.75">
      <c r="A15" s="8" t="s">
        <v>22</v>
      </c>
      <c r="B15" s="9">
        <f>B6+B9</f>
        <v>10950000000</v>
      </c>
    </row>
    <row r="19" spans="1:2" ht="15.75">
      <c r="A19" s="62" t="s">
        <v>0</v>
      </c>
      <c r="B19" s="62"/>
    </row>
    <row r="20" spans="1:2" ht="15.75">
      <c r="A20" s="62" t="s">
        <v>21</v>
      </c>
      <c r="B20" s="62"/>
    </row>
    <row r="21" spans="1:2">
      <c r="A21" s="10"/>
    </row>
    <row r="22" spans="1:2" ht="15.75">
      <c r="A22" s="2" t="s">
        <v>10</v>
      </c>
      <c r="B22" s="11">
        <v>8120000000</v>
      </c>
    </row>
    <row r="23" spans="1:2" ht="15.75">
      <c r="A23" s="12" t="s">
        <v>11</v>
      </c>
    </row>
    <row r="24" spans="1:2" ht="15" customHeight="1">
      <c r="A24" s="13" t="s">
        <v>12</v>
      </c>
    </row>
    <row r="25" spans="1:2" ht="15.75">
      <c r="A25" s="2" t="s">
        <v>13</v>
      </c>
      <c r="B25" s="3">
        <f>B26+B27+B28+B29+B30+B31</f>
        <v>2830000000</v>
      </c>
    </row>
    <row r="26" spans="1:2">
      <c r="A26" s="6" t="s">
        <v>14</v>
      </c>
      <c r="B26" s="5">
        <v>200000000</v>
      </c>
    </row>
    <row r="27" spans="1:2">
      <c r="A27" s="6" t="s">
        <v>15</v>
      </c>
      <c r="B27" s="5">
        <v>800000000</v>
      </c>
    </row>
    <row r="28" spans="1:2">
      <c r="A28" s="6" t="s">
        <v>16</v>
      </c>
      <c r="B28" s="5">
        <v>680000000</v>
      </c>
    </row>
    <row r="29" spans="1:2">
      <c r="A29" s="6" t="s">
        <v>17</v>
      </c>
      <c r="B29" s="5">
        <v>100000000</v>
      </c>
    </row>
    <row r="30" spans="1:2">
      <c r="A30" s="6" t="s">
        <v>18</v>
      </c>
      <c r="B30" s="5">
        <v>500000000</v>
      </c>
    </row>
    <row r="31" spans="1:2">
      <c r="A31" s="6" t="s">
        <v>19</v>
      </c>
      <c r="B31" s="5">
        <v>550000000</v>
      </c>
    </row>
    <row r="32" spans="1:2" ht="15.75">
      <c r="A32" s="8" t="s">
        <v>22</v>
      </c>
      <c r="B32" s="9">
        <f>B22+B25</f>
        <v>10950000000</v>
      </c>
    </row>
  </sheetData>
  <mergeCells count="4">
    <mergeCell ref="A3:B3"/>
    <mergeCell ref="A4:B4"/>
    <mergeCell ref="A19:B19"/>
    <mergeCell ref="A20:B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5"/>
  <sheetViews>
    <sheetView tabSelected="1" zoomScaleNormal="100" zoomScaleSheetLayoutView="110" workbookViewId="0">
      <pane xSplit="5" topLeftCell="T1" activePane="topRight" state="frozen"/>
      <selection pane="topRight" activeCell="V64" sqref="V64:V76"/>
    </sheetView>
  </sheetViews>
  <sheetFormatPr baseColWidth="10" defaultRowHeight="15"/>
  <cols>
    <col min="1" max="1" width="15.85546875" customWidth="1"/>
    <col min="2" max="2" width="53.85546875" customWidth="1"/>
    <col min="3" max="3" width="24.42578125" customWidth="1"/>
    <col min="4" max="4" width="23.140625" customWidth="1"/>
    <col min="5" max="5" width="24.7109375" customWidth="1"/>
    <col min="6" max="6" width="21.140625" customWidth="1"/>
    <col min="7" max="7" width="24.7109375" bestFit="1" customWidth="1"/>
    <col min="8" max="8" width="25.28515625" bestFit="1" customWidth="1"/>
    <col min="9" max="9" width="27.42578125" bestFit="1" customWidth="1"/>
    <col min="10" max="10" width="26" bestFit="1" customWidth="1"/>
    <col min="11" max="11" width="24.140625" bestFit="1" customWidth="1"/>
    <col min="12" max="12" width="24.7109375" bestFit="1" customWidth="1"/>
    <col min="13" max="13" width="24.42578125" bestFit="1" customWidth="1"/>
    <col min="14" max="14" width="23.85546875" bestFit="1" customWidth="1"/>
    <col min="15" max="15" width="27" bestFit="1" customWidth="1"/>
    <col min="16" max="16" width="30.85546875" bestFit="1" customWidth="1"/>
    <col min="17" max="17" width="27.7109375" bestFit="1" customWidth="1"/>
    <col min="18" max="18" width="24.85546875" customWidth="1"/>
    <col min="19" max="19" width="23.42578125" customWidth="1"/>
    <col min="20" max="20" width="24.7109375" customWidth="1"/>
    <col min="21" max="21" width="23.85546875" customWidth="1"/>
  </cols>
  <sheetData>
    <row r="1" spans="1:22" ht="15.75" customHeight="1">
      <c r="A1" s="68" t="s">
        <v>195</v>
      </c>
      <c r="B1" s="68" t="s">
        <v>23</v>
      </c>
      <c r="C1" s="67" t="s">
        <v>85</v>
      </c>
      <c r="D1" s="69" t="s">
        <v>187</v>
      </c>
      <c r="E1" s="70"/>
      <c r="F1" s="67" t="s">
        <v>188</v>
      </c>
      <c r="G1" s="67" t="s">
        <v>313</v>
      </c>
      <c r="H1" s="67" t="s">
        <v>191</v>
      </c>
      <c r="I1" s="67" t="s">
        <v>250</v>
      </c>
      <c r="J1" s="63" t="s">
        <v>304</v>
      </c>
      <c r="K1" s="63" t="s">
        <v>309</v>
      </c>
      <c r="L1" s="63" t="s">
        <v>310</v>
      </c>
      <c r="M1" s="63" t="s">
        <v>311</v>
      </c>
      <c r="N1" s="63" t="s">
        <v>314</v>
      </c>
      <c r="O1" s="63" t="s">
        <v>321</v>
      </c>
      <c r="P1" s="63" t="s">
        <v>322</v>
      </c>
      <c r="Q1" s="63" t="s">
        <v>331</v>
      </c>
      <c r="R1" s="63" t="s">
        <v>335</v>
      </c>
      <c r="S1" s="63" t="s">
        <v>338</v>
      </c>
      <c r="T1" s="67" t="s">
        <v>339</v>
      </c>
      <c r="U1" s="67" t="s">
        <v>340</v>
      </c>
    </row>
    <row r="2" spans="1:22" ht="14.25" customHeight="1">
      <c r="A2" s="68"/>
      <c r="B2" s="68"/>
      <c r="C2" s="67"/>
      <c r="D2" s="49" t="s">
        <v>189</v>
      </c>
      <c r="E2" s="49" t="s">
        <v>190</v>
      </c>
      <c r="F2" s="67"/>
      <c r="G2" s="67"/>
      <c r="H2" s="67"/>
      <c r="I2" s="67"/>
      <c r="J2" s="64"/>
      <c r="K2" s="64"/>
      <c r="L2" s="64"/>
      <c r="M2" s="64"/>
      <c r="N2" s="64"/>
      <c r="O2" s="64"/>
      <c r="P2" s="64"/>
      <c r="Q2" s="64"/>
      <c r="R2" s="64"/>
      <c r="S2" s="64"/>
      <c r="T2" s="67"/>
      <c r="U2" s="67"/>
    </row>
    <row r="3" spans="1:22" ht="18.75">
      <c r="A3" s="36"/>
      <c r="B3" s="37" t="s">
        <v>10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2">
      <c r="A4" s="36"/>
      <c r="B4" s="36" t="s">
        <v>24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2">
      <c r="A5" s="36">
        <v>30501</v>
      </c>
      <c r="B5" s="36" t="s">
        <v>25</v>
      </c>
      <c r="C5" s="25">
        <f t="shared" ref="C5:S5" si="0">SUM(C6:C16)</f>
        <v>3638000000</v>
      </c>
      <c r="D5" s="25">
        <f t="shared" si="0"/>
        <v>240183031</v>
      </c>
      <c r="E5" s="25">
        <f t="shared" si="0"/>
        <v>164150630</v>
      </c>
      <c r="F5" s="25">
        <f t="shared" si="0"/>
        <v>0</v>
      </c>
      <c r="G5" s="25">
        <f t="shared" si="0"/>
        <v>3714032401</v>
      </c>
      <c r="H5" s="25">
        <f t="shared" si="0"/>
        <v>210086393</v>
      </c>
      <c r="I5" s="25">
        <f t="shared" si="0"/>
        <v>239798462</v>
      </c>
      <c r="J5" s="25">
        <f t="shared" si="0"/>
        <v>262242660</v>
      </c>
      <c r="K5" s="25">
        <f t="shared" si="0"/>
        <v>244907184</v>
      </c>
      <c r="L5" s="25">
        <f t="shared" si="0"/>
        <v>276441611</v>
      </c>
      <c r="M5" s="25">
        <f t="shared" si="0"/>
        <v>240562166</v>
      </c>
      <c r="N5" s="25">
        <f t="shared" si="0"/>
        <v>489036751</v>
      </c>
      <c r="O5" s="25">
        <f t="shared" si="0"/>
        <v>291170512</v>
      </c>
      <c r="P5" s="25">
        <f t="shared" si="0"/>
        <v>287602399</v>
      </c>
      <c r="Q5" s="25">
        <f t="shared" si="0"/>
        <v>290242751</v>
      </c>
      <c r="R5" s="25">
        <f t="shared" si="0"/>
        <v>288172397</v>
      </c>
      <c r="S5" s="25">
        <f t="shared" si="0"/>
        <v>554473008</v>
      </c>
      <c r="T5" s="25">
        <f>SUM(T6:T16)</f>
        <v>3674736294</v>
      </c>
      <c r="U5" s="25">
        <f>SUM(U6:U16)</f>
        <v>3674736294</v>
      </c>
    </row>
    <row r="6" spans="1:22">
      <c r="A6" s="36">
        <v>30501180401</v>
      </c>
      <c r="B6" s="38" t="s">
        <v>26</v>
      </c>
      <c r="C6" s="34">
        <v>2725000000</v>
      </c>
      <c r="D6" s="39">
        <f>49089101+30000000</f>
        <v>79089101</v>
      </c>
      <c r="E6" s="39">
        <v>20000000</v>
      </c>
      <c r="F6" s="39"/>
      <c r="G6" s="39">
        <f t="shared" ref="G6:G16" si="1">C6+D6-E6+F6</f>
        <v>2784089101</v>
      </c>
      <c r="H6" s="39">
        <v>172548337</v>
      </c>
      <c r="I6" s="39">
        <v>219114451</v>
      </c>
      <c r="J6" s="39">
        <v>209720925</v>
      </c>
      <c r="K6" s="39">
        <v>210581332</v>
      </c>
      <c r="L6" s="39">
        <v>224711124</v>
      </c>
      <c r="M6" s="39">
        <v>206118306</v>
      </c>
      <c r="N6" s="39">
        <v>320634241</v>
      </c>
      <c r="O6" s="39">
        <v>242182390</v>
      </c>
      <c r="P6" s="39">
        <v>246410805</v>
      </c>
      <c r="Q6" s="39">
        <v>243066387</v>
      </c>
      <c r="R6" s="39">
        <v>244525114</v>
      </c>
      <c r="S6" s="39">
        <v>243789755</v>
      </c>
      <c r="T6" s="29">
        <f>H6+I6+J6+K6+L6+M6+N6+O6+P6+Q6+R6+S6</f>
        <v>2783403167</v>
      </c>
      <c r="U6" s="29">
        <v>2783403167</v>
      </c>
      <c r="V6" s="79"/>
    </row>
    <row r="7" spans="1:22">
      <c r="A7" s="36">
        <v>30501180402</v>
      </c>
      <c r="B7" s="36" t="s">
        <v>27</v>
      </c>
      <c r="C7" s="26">
        <v>220000000</v>
      </c>
      <c r="D7" s="29">
        <f>13767610+14000000</f>
        <v>27767610</v>
      </c>
      <c r="E7" s="39"/>
      <c r="F7" s="39"/>
      <c r="G7" s="39">
        <f t="shared" si="1"/>
        <v>247767610</v>
      </c>
      <c r="H7" s="39"/>
      <c r="I7" s="39"/>
      <c r="J7" s="39"/>
      <c r="K7" s="39"/>
      <c r="L7" s="39"/>
      <c r="M7" s="39">
        <v>0</v>
      </c>
      <c r="N7" s="39"/>
      <c r="O7" s="39"/>
      <c r="P7" s="39"/>
      <c r="Q7" s="39"/>
      <c r="R7" s="39"/>
      <c r="S7" s="39">
        <v>247748216</v>
      </c>
      <c r="T7" s="29">
        <f t="shared" ref="T7:U28" si="2">H7+I7+J7+K7+L7+M7+N7+O7+P7+Q7+R7+S7</f>
        <v>247748216</v>
      </c>
      <c r="U7" s="29">
        <v>247748216</v>
      </c>
      <c r="V7" s="79"/>
    </row>
    <row r="8" spans="1:22">
      <c r="A8" s="36">
        <v>30501180403</v>
      </c>
      <c r="B8" s="36" t="s">
        <v>28</v>
      </c>
      <c r="C8" s="26">
        <v>127000000</v>
      </c>
      <c r="D8" s="29"/>
      <c r="E8" s="39">
        <f>10520638+20000000</f>
        <v>30520638</v>
      </c>
      <c r="F8" s="39"/>
      <c r="G8" s="39">
        <f t="shared" si="1"/>
        <v>96479362</v>
      </c>
      <c r="H8" s="39">
        <v>8512895</v>
      </c>
      <c r="I8" s="39">
        <v>4985765</v>
      </c>
      <c r="J8" s="39">
        <v>8522574</v>
      </c>
      <c r="K8" s="39">
        <v>5046277</v>
      </c>
      <c r="L8" s="39">
        <v>12805377</v>
      </c>
      <c r="M8" s="39">
        <v>0</v>
      </c>
      <c r="N8" s="39"/>
      <c r="O8" s="39">
        <v>11728154</v>
      </c>
      <c r="P8" s="39">
        <v>11796715</v>
      </c>
      <c r="Q8" s="39">
        <v>9129194</v>
      </c>
      <c r="R8" s="39">
        <v>8483494</v>
      </c>
      <c r="S8" s="39">
        <v>13608895</v>
      </c>
      <c r="T8" s="29">
        <f t="shared" si="2"/>
        <v>94619340</v>
      </c>
      <c r="U8" s="29">
        <v>94619340</v>
      </c>
      <c r="V8" s="79"/>
    </row>
    <row r="9" spans="1:22">
      <c r="A9" s="36">
        <v>30501180404</v>
      </c>
      <c r="B9" s="36" t="s">
        <v>29</v>
      </c>
      <c r="C9" s="26">
        <v>15000000</v>
      </c>
      <c r="D9" s="29"/>
      <c r="E9" s="39">
        <v>10000000</v>
      </c>
      <c r="F9" s="39"/>
      <c r="G9" s="39">
        <f t="shared" si="1"/>
        <v>5000000</v>
      </c>
      <c r="H9" s="39">
        <v>4816733</v>
      </c>
      <c r="I9" s="39"/>
      <c r="J9" s="39"/>
      <c r="K9" s="39"/>
      <c r="L9" s="39"/>
      <c r="M9" s="39">
        <v>0</v>
      </c>
      <c r="N9" s="39"/>
      <c r="O9" s="39"/>
      <c r="P9" s="39"/>
      <c r="Q9" s="39"/>
      <c r="R9" s="39"/>
      <c r="S9" s="39"/>
      <c r="T9" s="29">
        <f t="shared" si="2"/>
        <v>4816733</v>
      </c>
      <c r="U9" s="29">
        <v>4816733</v>
      </c>
      <c r="V9" s="79"/>
    </row>
    <row r="10" spans="1:22">
      <c r="A10" s="36">
        <v>30501180405</v>
      </c>
      <c r="B10" s="36" t="s">
        <v>30</v>
      </c>
      <c r="C10" s="26">
        <v>5000000</v>
      </c>
      <c r="D10" s="29"/>
      <c r="E10" s="39">
        <v>2500000</v>
      </c>
      <c r="F10" s="39"/>
      <c r="G10" s="39">
        <f t="shared" si="1"/>
        <v>2500000</v>
      </c>
      <c r="H10" s="39">
        <v>132090</v>
      </c>
      <c r="I10" s="39">
        <v>155400</v>
      </c>
      <c r="J10" s="39">
        <v>77700</v>
      </c>
      <c r="K10" s="39">
        <v>145040</v>
      </c>
      <c r="L10" s="39">
        <v>155400</v>
      </c>
      <c r="M10" s="39">
        <v>155400</v>
      </c>
      <c r="N10" s="39">
        <v>77700</v>
      </c>
      <c r="O10" s="39">
        <v>155400</v>
      </c>
      <c r="P10" s="39">
        <v>155400</v>
      </c>
      <c r="Q10" s="39">
        <v>155400</v>
      </c>
      <c r="R10" s="39">
        <v>155400</v>
      </c>
      <c r="S10" s="39">
        <v>155400</v>
      </c>
      <c r="T10" s="29">
        <f t="shared" si="2"/>
        <v>1675730</v>
      </c>
      <c r="U10" s="29">
        <v>1675730</v>
      </c>
      <c r="V10" s="79"/>
    </row>
    <row r="11" spans="1:22">
      <c r="A11" s="36">
        <v>30501180406</v>
      </c>
      <c r="B11" s="36" t="s">
        <v>31</v>
      </c>
      <c r="C11" s="26">
        <v>22000000</v>
      </c>
      <c r="D11" s="29">
        <f>10000000+5000000</f>
        <v>15000000</v>
      </c>
      <c r="E11" s="39"/>
      <c r="F11" s="39"/>
      <c r="G11" s="39">
        <f t="shared" si="1"/>
        <v>37000000</v>
      </c>
      <c r="H11" s="39"/>
      <c r="I11" s="39"/>
      <c r="J11" s="39"/>
      <c r="K11" s="39"/>
      <c r="L11" s="39">
        <v>6368486</v>
      </c>
      <c r="M11" s="39">
        <v>0</v>
      </c>
      <c r="N11" s="39">
        <f>1764860</f>
        <v>1764860</v>
      </c>
      <c r="O11" s="39"/>
      <c r="P11" s="39"/>
      <c r="Q11" s="39"/>
      <c r="R11" s="39"/>
      <c r="S11" s="39"/>
      <c r="T11" s="29">
        <f t="shared" si="2"/>
        <v>8133346</v>
      </c>
      <c r="U11" s="29">
        <v>8133346</v>
      </c>
      <c r="V11" s="79"/>
    </row>
    <row r="12" spans="1:22">
      <c r="A12" s="36">
        <v>30501180407</v>
      </c>
      <c r="B12" s="36" t="s">
        <v>32</v>
      </c>
      <c r="C12" s="26">
        <v>1000000</v>
      </c>
      <c r="D12" s="29"/>
      <c r="E12" s="39"/>
      <c r="F12" s="39"/>
      <c r="G12" s="39">
        <f t="shared" si="1"/>
        <v>1000000</v>
      </c>
      <c r="H12" s="39"/>
      <c r="I12" s="39"/>
      <c r="J12" s="39"/>
      <c r="K12" s="39"/>
      <c r="L12" s="39"/>
      <c r="M12" s="39">
        <v>0</v>
      </c>
      <c r="N12" s="39"/>
      <c r="O12" s="39"/>
      <c r="P12" s="39"/>
      <c r="Q12" s="39"/>
      <c r="R12" s="39"/>
      <c r="S12" s="39"/>
      <c r="T12" s="29">
        <f t="shared" si="2"/>
        <v>0</v>
      </c>
      <c r="U12" s="29">
        <v>0</v>
      </c>
      <c r="V12" s="79"/>
    </row>
    <row r="13" spans="1:22">
      <c r="A13" s="36">
        <v>30501180408</v>
      </c>
      <c r="B13" s="36" t="s">
        <v>33</v>
      </c>
      <c r="C13" s="26">
        <v>300000000</v>
      </c>
      <c r="D13" s="29">
        <f>100000000+8500000</f>
        <v>108500000</v>
      </c>
      <c r="E13" s="39">
        <v>57860284</v>
      </c>
      <c r="F13" s="39"/>
      <c r="G13" s="39">
        <f t="shared" si="1"/>
        <v>350639716</v>
      </c>
      <c r="H13" s="39">
        <v>20397317</v>
      </c>
      <c r="I13" s="39">
        <v>14967090</v>
      </c>
      <c r="J13" s="39">
        <v>39225820</v>
      </c>
      <c r="K13" s="39">
        <v>23874127</v>
      </c>
      <c r="L13" s="39">
        <v>26894752</v>
      </c>
      <c r="M13" s="39">
        <v>32338910</v>
      </c>
      <c r="N13" s="39">
        <f>16485584+27720090</f>
        <v>44205674</v>
      </c>
      <c r="O13" s="39">
        <v>29526262</v>
      </c>
      <c r="P13" s="39">
        <v>24011163</v>
      </c>
      <c r="Q13" s="39">
        <v>31515279</v>
      </c>
      <c r="R13" s="39">
        <v>30856627</v>
      </c>
      <c r="S13" s="39">
        <v>32594917</v>
      </c>
      <c r="T13" s="29">
        <f t="shared" si="2"/>
        <v>350407938</v>
      </c>
      <c r="U13" s="29">
        <v>350407938</v>
      </c>
      <c r="V13" s="79"/>
    </row>
    <row r="14" spans="1:22">
      <c r="A14" s="36">
        <v>30501180409</v>
      </c>
      <c r="B14" s="36" t="s">
        <v>34</v>
      </c>
      <c r="C14" s="26">
        <v>110000000</v>
      </c>
      <c r="D14" s="29">
        <v>6076320</v>
      </c>
      <c r="E14" s="39"/>
      <c r="F14" s="39"/>
      <c r="G14" s="39">
        <f t="shared" si="1"/>
        <v>116076320</v>
      </c>
      <c r="H14" s="39"/>
      <c r="I14" s="39"/>
      <c r="J14" s="39"/>
      <c r="K14" s="39"/>
      <c r="L14" s="39"/>
      <c r="M14" s="39">
        <v>0</v>
      </c>
      <c r="N14" s="39">
        <v>115984687</v>
      </c>
      <c r="O14" s="39">
        <v>0</v>
      </c>
      <c r="P14" s="39"/>
      <c r="Q14" s="39"/>
      <c r="R14" s="39"/>
      <c r="S14" s="39"/>
      <c r="T14" s="29">
        <f t="shared" si="2"/>
        <v>115984687</v>
      </c>
      <c r="U14" s="29">
        <v>115984687</v>
      </c>
      <c r="V14" s="79"/>
    </row>
    <row r="15" spans="1:22">
      <c r="A15" s="36">
        <v>30501180410</v>
      </c>
      <c r="B15" s="36" t="s">
        <v>35</v>
      </c>
      <c r="C15" s="26">
        <v>95000000</v>
      </c>
      <c r="D15" s="29"/>
      <c r="E15" s="39">
        <f>14089068+7410190+15000000</f>
        <v>36499258</v>
      </c>
      <c r="F15" s="39"/>
      <c r="G15" s="39">
        <f t="shared" si="1"/>
        <v>58500742</v>
      </c>
      <c r="H15" s="39">
        <v>2848561</v>
      </c>
      <c r="I15" s="39"/>
      <c r="J15" s="39">
        <v>2447063</v>
      </c>
      <c r="K15" s="39">
        <v>4632692</v>
      </c>
      <c r="L15" s="39">
        <v>3899100</v>
      </c>
      <c r="M15" s="39">
        <v>1949550</v>
      </c>
      <c r="N15" s="39">
        <v>5188501</v>
      </c>
      <c r="O15" s="39">
        <v>6119608</v>
      </c>
      <c r="P15" s="39">
        <v>3760134</v>
      </c>
      <c r="Q15" s="39">
        <v>5240965</v>
      </c>
      <c r="R15" s="39">
        <v>3094196</v>
      </c>
      <c r="S15" s="39">
        <v>13826759</v>
      </c>
      <c r="T15" s="29">
        <f t="shared" si="2"/>
        <v>53007129</v>
      </c>
      <c r="U15" s="29">
        <v>53007129</v>
      </c>
      <c r="V15" s="79"/>
    </row>
    <row r="16" spans="1:22">
      <c r="A16" s="36">
        <v>30501180411</v>
      </c>
      <c r="B16" s="36" t="s">
        <v>36</v>
      </c>
      <c r="C16" s="26">
        <v>18000000</v>
      </c>
      <c r="D16" s="29">
        <f>3000000+750000</f>
        <v>3750000</v>
      </c>
      <c r="E16" s="39">
        <v>6770450</v>
      </c>
      <c r="F16" s="39"/>
      <c r="G16" s="39">
        <f t="shared" si="1"/>
        <v>14979550</v>
      </c>
      <c r="H16" s="39">
        <v>830460</v>
      </c>
      <c r="I16" s="39">
        <v>575756</v>
      </c>
      <c r="J16" s="39">
        <v>2248578</v>
      </c>
      <c r="K16" s="39">
        <v>627716</v>
      </c>
      <c r="L16" s="39">
        <v>1607372</v>
      </c>
      <c r="M16" s="39">
        <v>0</v>
      </c>
      <c r="N16" s="39">
        <v>1181088</v>
      </c>
      <c r="O16" s="39">
        <v>1458698</v>
      </c>
      <c r="P16" s="39">
        <v>1468182</v>
      </c>
      <c r="Q16" s="39">
        <v>1135526</v>
      </c>
      <c r="R16" s="39">
        <v>1057566</v>
      </c>
      <c r="S16" s="39">
        <v>2749066</v>
      </c>
      <c r="T16" s="29">
        <f t="shared" si="2"/>
        <v>14940008</v>
      </c>
      <c r="U16" s="29">
        <v>14940008</v>
      </c>
      <c r="V16" s="79"/>
    </row>
    <row r="17" spans="1:22">
      <c r="A17" s="36"/>
      <c r="B17" s="36" t="s">
        <v>37</v>
      </c>
      <c r="C17" s="25">
        <f t="shared" ref="C17:U17" si="3">SUM(C18:C21)</f>
        <v>1101000000</v>
      </c>
      <c r="D17" s="40">
        <f t="shared" si="3"/>
        <v>457241387</v>
      </c>
      <c r="E17" s="25">
        <f t="shared" si="3"/>
        <v>0</v>
      </c>
      <c r="F17" s="25">
        <f t="shared" si="3"/>
        <v>28366002</v>
      </c>
      <c r="G17" s="25">
        <f t="shared" si="3"/>
        <v>1586607389</v>
      </c>
      <c r="H17" s="25">
        <f t="shared" si="3"/>
        <v>95735137</v>
      </c>
      <c r="I17" s="25">
        <f t="shared" si="3"/>
        <v>128392118</v>
      </c>
      <c r="J17" s="25">
        <f t="shared" si="3"/>
        <v>877560590</v>
      </c>
      <c r="K17" s="25">
        <f t="shared" si="3"/>
        <v>50615000</v>
      </c>
      <c r="L17" s="25">
        <f t="shared" si="3"/>
        <v>13600000</v>
      </c>
      <c r="M17" s="25">
        <f t="shared" si="3"/>
        <v>34766002</v>
      </c>
      <c r="N17" s="25">
        <f t="shared" si="3"/>
        <v>0</v>
      </c>
      <c r="O17" s="25">
        <f t="shared" si="3"/>
        <v>124533350</v>
      </c>
      <c r="P17" s="25">
        <f t="shared" si="3"/>
        <v>90000000</v>
      </c>
      <c r="Q17" s="25">
        <f t="shared" si="3"/>
        <v>0</v>
      </c>
      <c r="R17" s="25">
        <f t="shared" si="3"/>
        <v>96380207</v>
      </c>
      <c r="S17" s="25">
        <f t="shared" si="3"/>
        <v>2000000</v>
      </c>
      <c r="T17" s="25">
        <f t="shared" si="3"/>
        <v>1513582404</v>
      </c>
      <c r="U17" s="25">
        <f t="shared" si="3"/>
        <v>1244002259</v>
      </c>
    </row>
    <row r="18" spans="1:22">
      <c r="A18" s="36">
        <v>30501180412</v>
      </c>
      <c r="B18" s="36" t="s">
        <v>38</v>
      </c>
      <c r="C18" s="26">
        <v>500000000</v>
      </c>
      <c r="D18" s="29">
        <f>66414980+74431695</f>
        <v>140846675</v>
      </c>
      <c r="E18" s="34"/>
      <c r="F18" s="57">
        <v>28366002</v>
      </c>
      <c r="G18" s="39">
        <f>C18+D18-E18+F18</f>
        <v>669212677</v>
      </c>
      <c r="H18" s="26">
        <v>89366665</v>
      </c>
      <c r="I18" s="34">
        <v>126800000</v>
      </c>
      <c r="J18" s="34">
        <v>129600000</v>
      </c>
      <c r="K18" s="34">
        <v>50615000</v>
      </c>
      <c r="L18" s="34">
        <v>13600000</v>
      </c>
      <c r="M18" s="34">
        <f>6400000+28366002</f>
        <v>34766002</v>
      </c>
      <c r="N18" s="34">
        <v>0</v>
      </c>
      <c r="O18" s="34">
        <v>124533350</v>
      </c>
      <c r="P18" s="34"/>
      <c r="Q18" s="34"/>
      <c r="R18" s="34">
        <v>95831660</v>
      </c>
      <c r="S18" s="34">
        <v>2000000</v>
      </c>
      <c r="T18" s="29">
        <f t="shared" si="2"/>
        <v>667112677</v>
      </c>
      <c r="U18" s="29">
        <v>456872116</v>
      </c>
      <c r="V18" s="80"/>
    </row>
    <row r="19" spans="1:22">
      <c r="A19" s="36">
        <v>30501180413</v>
      </c>
      <c r="B19" s="16" t="s">
        <v>325</v>
      </c>
      <c r="C19" s="26">
        <v>200000000</v>
      </c>
      <c r="D19" s="29">
        <f>32855632+90000000</f>
        <v>122855632</v>
      </c>
      <c r="E19" s="39"/>
      <c r="F19" s="39"/>
      <c r="G19" s="39">
        <f>C19+D19-E19+F19</f>
        <v>322855632</v>
      </c>
      <c r="H19" s="39">
        <v>6368472</v>
      </c>
      <c r="I19" s="39">
        <v>1592118</v>
      </c>
      <c r="J19" s="39">
        <v>220079291</v>
      </c>
      <c r="K19" s="39"/>
      <c r="L19" s="39"/>
      <c r="M19" s="39"/>
      <c r="N19" s="39"/>
      <c r="O19" s="39"/>
      <c r="P19" s="39">
        <v>90000000</v>
      </c>
      <c r="Q19" s="39"/>
      <c r="R19" s="39"/>
      <c r="S19" s="39"/>
      <c r="T19" s="29">
        <f t="shared" si="2"/>
        <v>318039881</v>
      </c>
      <c r="U19" s="29">
        <v>318039881</v>
      </c>
      <c r="V19" s="79"/>
    </row>
    <row r="20" spans="1:22">
      <c r="A20" s="36">
        <v>30501180414</v>
      </c>
      <c r="B20" s="36" t="s">
        <v>40</v>
      </c>
      <c r="C20" s="26">
        <v>400000000</v>
      </c>
      <c r="D20" s="29">
        <v>193539080</v>
      </c>
      <c r="E20" s="39"/>
      <c r="F20" s="39"/>
      <c r="G20" s="39">
        <f>C20+D20-E20+F20</f>
        <v>593539080</v>
      </c>
      <c r="H20" s="39"/>
      <c r="I20" s="39"/>
      <c r="J20" s="39">
        <v>527881299</v>
      </c>
      <c r="K20" s="39"/>
      <c r="L20" s="39"/>
      <c r="M20" s="39"/>
      <c r="N20" s="39"/>
      <c r="O20" s="39"/>
      <c r="P20" s="39"/>
      <c r="Q20" s="39"/>
      <c r="R20" s="39"/>
      <c r="S20" s="39"/>
      <c r="T20" s="29">
        <f t="shared" si="2"/>
        <v>527881299</v>
      </c>
      <c r="U20" s="29">
        <v>468541715</v>
      </c>
      <c r="V20" s="79"/>
    </row>
    <row r="21" spans="1:22">
      <c r="A21" s="36">
        <v>30501180415</v>
      </c>
      <c r="B21" s="36" t="s">
        <v>41</v>
      </c>
      <c r="C21" s="26">
        <v>1000000</v>
      </c>
      <c r="D21" s="29"/>
      <c r="E21" s="39"/>
      <c r="F21" s="39"/>
      <c r="G21" s="39">
        <f>C21+D21-E21+F21</f>
        <v>1000000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>
        <v>548547</v>
      </c>
      <c r="S21" s="39"/>
      <c r="T21" s="29">
        <f t="shared" si="2"/>
        <v>548547</v>
      </c>
      <c r="U21" s="29">
        <v>548547</v>
      </c>
      <c r="V21" s="79"/>
    </row>
    <row r="22" spans="1:22">
      <c r="A22" s="36">
        <v>30501180416</v>
      </c>
      <c r="B22" s="36" t="s">
        <v>42</v>
      </c>
      <c r="C22" s="25">
        <f>SUM(C23:C28)</f>
        <v>1037000000</v>
      </c>
      <c r="D22" s="40">
        <f>SUM(D23:D28)</f>
        <v>96963564</v>
      </c>
      <c r="E22" s="25">
        <f>SUM(E23:E28)</f>
        <v>242075497</v>
      </c>
      <c r="F22" s="25">
        <f>SUM(F23:F28)</f>
        <v>0</v>
      </c>
      <c r="G22" s="25">
        <f>SUM(G23:G28)</f>
        <v>891888067</v>
      </c>
      <c r="H22" s="25">
        <f t="shared" ref="H22:S22" si="4">H23+H24+H25+H26+H27+H28</f>
        <v>49183654</v>
      </c>
      <c r="I22" s="25">
        <f t="shared" si="4"/>
        <v>58294216</v>
      </c>
      <c r="J22" s="25">
        <f t="shared" si="4"/>
        <v>57564452</v>
      </c>
      <c r="K22" s="25">
        <f t="shared" si="4"/>
        <v>59878315</v>
      </c>
      <c r="L22" s="25">
        <f t="shared" si="4"/>
        <v>63648303</v>
      </c>
      <c r="M22" s="25">
        <f t="shared" si="4"/>
        <v>68693974</v>
      </c>
      <c r="N22" s="25">
        <f t="shared" si="4"/>
        <v>103908776</v>
      </c>
      <c r="O22" s="25">
        <f t="shared" si="4"/>
        <v>71964632</v>
      </c>
      <c r="P22" s="25">
        <f t="shared" si="4"/>
        <v>67323844</v>
      </c>
      <c r="Q22" s="25">
        <f t="shared" si="4"/>
        <v>63643089</v>
      </c>
      <c r="R22" s="25">
        <f t="shared" si="4"/>
        <v>60196994</v>
      </c>
      <c r="S22" s="25">
        <f t="shared" si="4"/>
        <v>101919871</v>
      </c>
      <c r="T22" s="25">
        <f>SUM(T23:T28)</f>
        <v>826220120</v>
      </c>
      <c r="U22" s="25">
        <f>SUM(U23:U28)</f>
        <v>826220120</v>
      </c>
    </row>
    <row r="23" spans="1:22">
      <c r="A23" s="36">
        <v>30501180417</v>
      </c>
      <c r="B23" s="36" t="s">
        <v>43</v>
      </c>
      <c r="C23" s="26">
        <v>120000000</v>
      </c>
      <c r="D23" s="29">
        <v>11800000</v>
      </c>
      <c r="E23" s="39">
        <v>8836436</v>
      </c>
      <c r="F23" s="39"/>
      <c r="G23" s="39">
        <f t="shared" ref="G23:G28" si="5">C23+D23-E23+F23</f>
        <v>122963564</v>
      </c>
      <c r="H23" s="39">
        <v>8756244</v>
      </c>
      <c r="I23" s="39">
        <v>9518100</v>
      </c>
      <c r="J23" s="39">
        <v>9303400</v>
      </c>
      <c r="K23" s="39">
        <v>12080100</v>
      </c>
      <c r="L23" s="39">
        <v>13013900</v>
      </c>
      <c r="M23" s="39">
        <v>10546875</v>
      </c>
      <c r="N23" s="39">
        <v>16584752</v>
      </c>
      <c r="O23" s="39">
        <v>8954712</v>
      </c>
      <c r="P23" s="39">
        <v>7456254</v>
      </c>
      <c r="Q23" s="39">
        <v>7564215</v>
      </c>
      <c r="R23" s="39">
        <v>7495712</v>
      </c>
      <c r="S23" s="39">
        <v>11546879</v>
      </c>
      <c r="T23" s="29">
        <f t="shared" si="2"/>
        <v>122821143</v>
      </c>
      <c r="U23" s="29">
        <v>122821143</v>
      </c>
      <c r="V23" s="79"/>
    </row>
    <row r="24" spans="1:22">
      <c r="A24" s="36">
        <v>30501180418</v>
      </c>
      <c r="B24" s="36" t="s">
        <v>44</v>
      </c>
      <c r="C24" s="26">
        <v>95000000</v>
      </c>
      <c r="D24" s="29"/>
      <c r="E24" s="39">
        <f>11927327+40000000</f>
        <v>51927327</v>
      </c>
      <c r="F24" s="39"/>
      <c r="G24" s="39">
        <f t="shared" si="5"/>
        <v>43072673</v>
      </c>
      <c r="H24" s="39">
        <v>859423</v>
      </c>
      <c r="I24" s="39">
        <v>903900</v>
      </c>
      <c r="J24" s="39">
        <v>849200</v>
      </c>
      <c r="K24" s="39">
        <v>1104700</v>
      </c>
      <c r="L24" s="39">
        <v>1266600</v>
      </c>
      <c r="M24" s="39">
        <v>1056879</v>
      </c>
      <c r="N24" s="39">
        <v>1874562</v>
      </c>
      <c r="O24" s="39">
        <v>1245832</v>
      </c>
      <c r="P24" s="39">
        <v>1426218</v>
      </c>
      <c r="Q24" s="39">
        <v>1354200</v>
      </c>
      <c r="R24" s="39">
        <v>1402578</v>
      </c>
      <c r="S24" s="39">
        <v>2905642</v>
      </c>
      <c r="T24" s="29">
        <f t="shared" si="2"/>
        <v>16249734</v>
      </c>
      <c r="U24" s="29">
        <v>16249734</v>
      </c>
      <c r="V24" s="79"/>
    </row>
    <row r="25" spans="1:22">
      <c r="A25" s="36">
        <v>30501180419</v>
      </c>
      <c r="B25" s="36" t="s">
        <v>45</v>
      </c>
      <c r="C25" s="26">
        <v>35000000</v>
      </c>
      <c r="D25" s="29">
        <v>20481782</v>
      </c>
      <c r="E25" s="39">
        <v>20000000</v>
      </c>
      <c r="F25" s="39"/>
      <c r="G25" s="39">
        <f t="shared" si="5"/>
        <v>35481782</v>
      </c>
      <c r="H25" s="39">
        <v>852456</v>
      </c>
      <c r="I25" s="39">
        <v>1189000</v>
      </c>
      <c r="J25" s="39">
        <v>1161900</v>
      </c>
      <c r="K25" s="39">
        <v>847850</v>
      </c>
      <c r="L25" s="39">
        <v>918650</v>
      </c>
      <c r="M25" s="39">
        <v>789526</v>
      </c>
      <c r="N25" s="39">
        <v>1152874</v>
      </c>
      <c r="O25" s="39">
        <v>832554</v>
      </c>
      <c r="P25" s="39">
        <v>1045687</v>
      </c>
      <c r="Q25" s="39">
        <v>2054876</v>
      </c>
      <c r="R25" s="39">
        <v>2154768</v>
      </c>
      <c r="S25" s="39">
        <v>3856412</v>
      </c>
      <c r="T25" s="29">
        <f t="shared" si="2"/>
        <v>16856553</v>
      </c>
      <c r="U25" s="29">
        <v>16856553</v>
      </c>
      <c r="V25" s="79"/>
    </row>
    <row r="26" spans="1:22">
      <c r="A26" s="36">
        <v>30501180420</v>
      </c>
      <c r="B26" s="36" t="s">
        <v>46</v>
      </c>
      <c r="C26" s="26">
        <v>35000000</v>
      </c>
      <c r="D26" s="29">
        <v>20481782</v>
      </c>
      <c r="E26" s="39">
        <v>20000000</v>
      </c>
      <c r="F26" s="39"/>
      <c r="G26" s="39">
        <f t="shared" si="5"/>
        <v>35481782</v>
      </c>
      <c r="H26" s="39">
        <v>852456</v>
      </c>
      <c r="I26" s="39">
        <v>1189000</v>
      </c>
      <c r="J26" s="39">
        <v>1161900</v>
      </c>
      <c r="K26" s="39">
        <v>847850</v>
      </c>
      <c r="L26" s="39">
        <v>918650</v>
      </c>
      <c r="M26" s="39">
        <v>789526</v>
      </c>
      <c r="N26" s="39">
        <v>1152874</v>
      </c>
      <c r="O26" s="39">
        <v>832554</v>
      </c>
      <c r="P26" s="39">
        <v>1045687</v>
      </c>
      <c r="Q26" s="39">
        <v>2054876</v>
      </c>
      <c r="R26" s="39">
        <v>2154768</v>
      </c>
      <c r="S26" s="39">
        <v>3856412</v>
      </c>
      <c r="T26" s="29">
        <f t="shared" si="2"/>
        <v>16856553</v>
      </c>
      <c r="U26" s="29">
        <v>16856553</v>
      </c>
      <c r="V26" s="79"/>
    </row>
    <row r="27" spans="1:22">
      <c r="A27" s="36">
        <v>30501180421</v>
      </c>
      <c r="B27" s="36" t="s">
        <v>47</v>
      </c>
      <c r="C27" s="26">
        <v>42000000</v>
      </c>
      <c r="D27" s="29"/>
      <c r="E27" s="39"/>
      <c r="F27" s="39"/>
      <c r="G27" s="39">
        <f t="shared" si="5"/>
        <v>42000000</v>
      </c>
      <c r="H27" s="39">
        <f>H26*2</f>
        <v>1704912</v>
      </c>
      <c r="I27" s="39">
        <v>2379400</v>
      </c>
      <c r="J27" s="39">
        <v>2326100</v>
      </c>
      <c r="K27" s="39">
        <v>3024000</v>
      </c>
      <c r="L27" s="39">
        <v>3252800</v>
      </c>
      <c r="M27" s="39">
        <v>3021456</v>
      </c>
      <c r="N27" s="39">
        <v>3687456</v>
      </c>
      <c r="O27" s="39">
        <v>3124447</v>
      </c>
      <c r="P27" s="39">
        <v>3781255</v>
      </c>
      <c r="Q27" s="39">
        <v>3593300</v>
      </c>
      <c r="R27" s="39">
        <v>3741452</v>
      </c>
      <c r="S27" s="39">
        <v>7064785</v>
      </c>
      <c r="T27" s="29">
        <f t="shared" si="2"/>
        <v>40701363</v>
      </c>
      <c r="U27" s="29">
        <v>40701363</v>
      </c>
      <c r="V27" s="79"/>
    </row>
    <row r="28" spans="1:22">
      <c r="A28" s="36">
        <v>30501180422</v>
      </c>
      <c r="B28" s="36" t="s">
        <v>48</v>
      </c>
      <c r="C28" s="26">
        <v>710000000</v>
      </c>
      <c r="D28" s="29">
        <v>44200000</v>
      </c>
      <c r="E28" s="39">
        <v>141311734</v>
      </c>
      <c r="F28" s="39"/>
      <c r="G28" s="39">
        <f t="shared" si="5"/>
        <v>612888266</v>
      </c>
      <c r="H28" s="39">
        <v>36158163</v>
      </c>
      <c r="I28" s="39">
        <f>23573058+19541758</f>
        <v>43114816</v>
      </c>
      <c r="J28" s="39">
        <f>23919826+18842126</f>
        <v>42761952</v>
      </c>
      <c r="K28" s="39">
        <v>41973815</v>
      </c>
      <c r="L28" s="39">
        <v>44277703</v>
      </c>
      <c r="M28" s="39">
        <v>52489712</v>
      </c>
      <c r="N28" s="39">
        <v>79456258</v>
      </c>
      <c r="O28" s="39">
        <v>56974533</v>
      </c>
      <c r="P28" s="39">
        <v>52568743</v>
      </c>
      <c r="Q28" s="39">
        <v>47021622</v>
      </c>
      <c r="R28" s="39">
        <v>43247716</v>
      </c>
      <c r="S28" s="39">
        <v>72689741</v>
      </c>
      <c r="T28" s="29">
        <f t="shared" si="2"/>
        <v>612734774</v>
      </c>
      <c r="U28" s="29">
        <v>612734774</v>
      </c>
      <c r="V28" s="79"/>
    </row>
    <row r="29" spans="1:22">
      <c r="A29" s="36">
        <v>30502</v>
      </c>
      <c r="B29" s="36" t="s">
        <v>49</v>
      </c>
      <c r="C29" s="16"/>
      <c r="D29" s="29"/>
      <c r="E29" s="16"/>
      <c r="F29" s="16"/>
      <c r="G29" s="39"/>
      <c r="H29" s="16"/>
      <c r="I29" s="35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2">
      <c r="A30" s="36"/>
      <c r="B30" s="36" t="s">
        <v>50</v>
      </c>
      <c r="C30" s="25">
        <f t="shared" ref="C30:U30" si="6">SUM(C31:C36)</f>
        <v>702000000</v>
      </c>
      <c r="D30" s="40">
        <f t="shared" si="6"/>
        <v>297400000</v>
      </c>
      <c r="E30" s="25">
        <f t="shared" si="6"/>
        <v>360271267</v>
      </c>
      <c r="F30" s="25">
        <f t="shared" si="6"/>
        <v>23348998</v>
      </c>
      <c r="G30" s="25">
        <f t="shared" si="6"/>
        <v>662477731</v>
      </c>
      <c r="H30" s="25">
        <f t="shared" si="6"/>
        <v>12410190</v>
      </c>
      <c r="I30" s="25">
        <f t="shared" si="6"/>
        <v>0</v>
      </c>
      <c r="J30" s="25">
        <f t="shared" si="6"/>
        <v>0</v>
      </c>
      <c r="K30" s="25">
        <f t="shared" si="6"/>
        <v>211310235</v>
      </c>
      <c r="L30" s="25">
        <f t="shared" si="6"/>
        <v>0</v>
      </c>
      <c r="M30" s="25">
        <f t="shared" si="6"/>
        <v>230125938</v>
      </c>
      <c r="N30" s="25">
        <f t="shared" si="6"/>
        <v>214948880</v>
      </c>
      <c r="O30" s="25">
        <f t="shared" si="6"/>
        <v>6300131</v>
      </c>
      <c r="P30" s="25">
        <f t="shared" si="6"/>
        <v>0</v>
      </c>
      <c r="Q30" s="25">
        <f t="shared" si="6"/>
        <v>-50526256</v>
      </c>
      <c r="R30" s="25">
        <f t="shared" si="6"/>
        <v>0</v>
      </c>
      <c r="S30" s="25">
        <f t="shared" si="6"/>
        <v>0</v>
      </c>
      <c r="T30" s="25">
        <f t="shared" si="6"/>
        <v>624569118</v>
      </c>
      <c r="U30" s="25">
        <f t="shared" si="6"/>
        <v>203622778</v>
      </c>
    </row>
    <row r="31" spans="1:22">
      <c r="A31" s="36">
        <v>30502180401</v>
      </c>
      <c r="B31" s="36" t="s">
        <v>51</v>
      </c>
      <c r="C31" s="26">
        <v>20000000</v>
      </c>
      <c r="D31" s="47">
        <f>160000000+11400000</f>
        <v>171400000</v>
      </c>
      <c r="E31" s="47">
        <f>74500000+31902800</f>
        <v>106402800</v>
      </c>
      <c r="F31" s="47"/>
      <c r="G31" s="39">
        <f t="shared" ref="G31:G36" si="7">C31+D31-E31+F31</f>
        <v>84997200</v>
      </c>
      <c r="H31" s="47"/>
      <c r="I31" s="47"/>
      <c r="J31" s="47"/>
      <c r="K31" s="47"/>
      <c r="L31" s="47"/>
      <c r="M31" s="47"/>
      <c r="N31" s="47">
        <v>84959280</v>
      </c>
      <c r="O31" s="47"/>
      <c r="P31" s="47"/>
      <c r="Q31" s="47"/>
      <c r="R31" s="47"/>
      <c r="S31" s="47"/>
      <c r="T31" s="29">
        <f t="shared" ref="T31:T46" si="8">H31+I31+J31+K31+L31+M31+N31+O31+P31+Q31+R31+S31</f>
        <v>84959280</v>
      </c>
      <c r="U31" s="29">
        <v>84959280</v>
      </c>
      <c r="V31" s="79"/>
    </row>
    <row r="32" spans="1:22">
      <c r="A32" s="36">
        <v>30502180402</v>
      </c>
      <c r="B32" s="36" t="s">
        <v>52</v>
      </c>
      <c r="C32" s="26">
        <v>180000000</v>
      </c>
      <c r="D32" s="57">
        <f>110000000+16000000</f>
        <v>126000000</v>
      </c>
      <c r="E32" s="47">
        <v>30040702</v>
      </c>
      <c r="F32" s="47"/>
      <c r="G32" s="39">
        <f t="shared" si="7"/>
        <v>275959298</v>
      </c>
      <c r="H32" s="47">
        <v>12410190</v>
      </c>
      <c r="I32" s="47"/>
      <c r="J32" s="47"/>
      <c r="K32" s="47">
        <v>48111744</v>
      </c>
      <c r="L32" s="47"/>
      <c r="M32" s="47">
        <v>190970780</v>
      </c>
      <c r="N32" s="47"/>
      <c r="O32" s="47">
        <v>6300131</v>
      </c>
      <c r="P32" s="47"/>
      <c r="Q32" s="47"/>
      <c r="R32" s="47"/>
      <c r="S32" s="47"/>
      <c r="T32" s="29">
        <f t="shared" si="8"/>
        <v>257792845</v>
      </c>
      <c r="U32" s="29">
        <v>58974562</v>
      </c>
      <c r="V32" s="80"/>
    </row>
    <row r="33" spans="1:22">
      <c r="A33" s="36">
        <v>30502180403</v>
      </c>
      <c r="B33" s="36" t="s">
        <v>53</v>
      </c>
      <c r="C33" s="26">
        <v>300000000</v>
      </c>
      <c r="D33" s="47"/>
      <c r="E33" s="47">
        <f>5000000+57327765</f>
        <v>62327765</v>
      </c>
      <c r="F33" s="57">
        <v>23348998</v>
      </c>
      <c r="G33" s="39">
        <f t="shared" si="7"/>
        <v>261021233</v>
      </c>
      <c r="H33" s="47"/>
      <c r="I33" s="47"/>
      <c r="J33" s="47"/>
      <c r="K33" s="47">
        <v>163198491</v>
      </c>
      <c r="L33" s="47"/>
      <c r="M33" s="47">
        <v>23348998</v>
      </c>
      <c r="N33" s="47">
        <v>129989600</v>
      </c>
      <c r="O33" s="47"/>
      <c r="P33" s="47"/>
      <c r="Q33" s="47">
        <v>-55526256</v>
      </c>
      <c r="R33" s="47"/>
      <c r="S33" s="47"/>
      <c r="T33" s="29">
        <f t="shared" si="8"/>
        <v>261010833</v>
      </c>
      <c r="U33" s="29">
        <v>54688936</v>
      </c>
      <c r="V33" s="80"/>
    </row>
    <row r="34" spans="1:22">
      <c r="A34" s="36">
        <v>30502180404</v>
      </c>
      <c r="B34" s="36" t="s">
        <v>54</v>
      </c>
      <c r="C34" s="26">
        <v>40000000</v>
      </c>
      <c r="D34" s="47"/>
      <c r="E34" s="47">
        <v>25000000</v>
      </c>
      <c r="F34" s="47"/>
      <c r="G34" s="39">
        <f t="shared" si="7"/>
        <v>15000000</v>
      </c>
      <c r="H34" s="47"/>
      <c r="I34" s="47"/>
      <c r="J34" s="47"/>
      <c r="K34" s="47"/>
      <c r="L34" s="47"/>
      <c r="M34" s="47"/>
      <c r="N34" s="47">
        <v>0</v>
      </c>
      <c r="O34" s="47"/>
      <c r="P34" s="47"/>
      <c r="Q34" s="47">
        <v>5000000</v>
      </c>
      <c r="R34" s="47"/>
      <c r="S34" s="47"/>
      <c r="T34" s="29">
        <f t="shared" si="8"/>
        <v>5000000</v>
      </c>
      <c r="U34" s="29">
        <v>5000000</v>
      </c>
      <c r="V34" s="80"/>
    </row>
    <row r="35" spans="1:22">
      <c r="A35" s="36" t="s">
        <v>55</v>
      </c>
      <c r="B35" s="36" t="s">
        <v>56</v>
      </c>
      <c r="C35" s="26">
        <v>2000000</v>
      </c>
      <c r="D35" s="47"/>
      <c r="E35" s="47">
        <v>1500000</v>
      </c>
      <c r="F35" s="47"/>
      <c r="G35" s="39">
        <f t="shared" si="7"/>
        <v>500000</v>
      </c>
      <c r="H35" s="47"/>
      <c r="I35" s="47"/>
      <c r="J35" s="47"/>
      <c r="K35" s="47"/>
      <c r="L35" s="47"/>
      <c r="M35" s="47"/>
      <c r="N35" s="47">
        <v>0</v>
      </c>
      <c r="O35" s="47"/>
      <c r="P35" s="47"/>
      <c r="Q35" s="47"/>
      <c r="R35" s="47"/>
      <c r="S35" s="47"/>
      <c r="T35" s="29">
        <f t="shared" si="8"/>
        <v>0</v>
      </c>
      <c r="U35" s="29">
        <v>0</v>
      </c>
      <c r="V35" s="80"/>
    </row>
    <row r="36" spans="1:22">
      <c r="A36" s="36">
        <v>30502180405</v>
      </c>
      <c r="B36" s="36" t="s">
        <v>57</v>
      </c>
      <c r="C36" s="26">
        <v>160000000</v>
      </c>
      <c r="D36" s="47"/>
      <c r="E36" s="47">
        <f>100000000+30000000+5000000</f>
        <v>135000000</v>
      </c>
      <c r="F36" s="47"/>
      <c r="G36" s="39">
        <f t="shared" si="7"/>
        <v>25000000</v>
      </c>
      <c r="H36" s="47"/>
      <c r="I36" s="47"/>
      <c r="J36" s="47"/>
      <c r="K36" s="47"/>
      <c r="L36" s="47"/>
      <c r="M36" s="47">
        <v>15806160</v>
      </c>
      <c r="N36" s="47">
        <v>0</v>
      </c>
      <c r="O36" s="47"/>
      <c r="P36" s="47"/>
      <c r="Q36" s="47"/>
      <c r="R36" s="47"/>
      <c r="S36" s="47"/>
      <c r="T36" s="29">
        <f t="shared" si="8"/>
        <v>15806160</v>
      </c>
      <c r="U36" s="29"/>
      <c r="V36" s="81"/>
    </row>
    <row r="37" spans="1:22">
      <c r="A37" s="36"/>
      <c r="B37" s="36" t="s">
        <v>58</v>
      </c>
      <c r="C37" s="25">
        <f t="shared" ref="C37:U37" si="9">SUM(C38:C46)</f>
        <v>634000000</v>
      </c>
      <c r="D37" s="40">
        <f t="shared" si="9"/>
        <v>49022212</v>
      </c>
      <c r="E37" s="25">
        <f t="shared" si="9"/>
        <v>112865000</v>
      </c>
      <c r="F37" s="25">
        <f t="shared" si="9"/>
        <v>26947250</v>
      </c>
      <c r="G37" s="25">
        <f t="shared" si="9"/>
        <v>597104462</v>
      </c>
      <c r="H37" s="25">
        <f t="shared" si="9"/>
        <v>15562457</v>
      </c>
      <c r="I37" s="25">
        <f t="shared" si="9"/>
        <v>27690973</v>
      </c>
      <c r="J37" s="25">
        <f t="shared" si="9"/>
        <v>120646864</v>
      </c>
      <c r="K37" s="25">
        <f t="shared" si="9"/>
        <v>124347277</v>
      </c>
      <c r="L37" s="25">
        <f t="shared" si="9"/>
        <v>24305361</v>
      </c>
      <c r="M37" s="25">
        <f t="shared" si="9"/>
        <v>52108446</v>
      </c>
      <c r="N37" s="25">
        <f t="shared" si="9"/>
        <v>18069830</v>
      </c>
      <c r="O37" s="25">
        <f t="shared" si="9"/>
        <v>25203347</v>
      </c>
      <c r="P37" s="25">
        <f t="shared" si="9"/>
        <v>68100018</v>
      </c>
      <c r="Q37" s="25">
        <f t="shared" si="9"/>
        <v>17744949</v>
      </c>
      <c r="R37" s="25">
        <f t="shared" si="9"/>
        <v>29942800</v>
      </c>
      <c r="S37" s="25">
        <f t="shared" si="9"/>
        <v>19225667</v>
      </c>
      <c r="T37" s="25">
        <f t="shared" si="9"/>
        <v>542947989</v>
      </c>
      <c r="U37" s="25">
        <f t="shared" si="9"/>
        <v>501942315</v>
      </c>
    </row>
    <row r="38" spans="1:22">
      <c r="A38" s="36">
        <v>30502180406</v>
      </c>
      <c r="B38" s="36" t="s">
        <v>59</v>
      </c>
      <c r="C38" s="47">
        <v>70000000</v>
      </c>
      <c r="D38" s="47"/>
      <c r="E38" s="47">
        <f>4000000+10000000+10000000</f>
        <v>24000000</v>
      </c>
      <c r="F38" s="57">
        <v>10000000</v>
      </c>
      <c r="G38" s="39">
        <f t="shared" ref="G38:G46" si="10">C38+D38-E38+F38</f>
        <v>56000000</v>
      </c>
      <c r="H38" s="47">
        <v>1518173</v>
      </c>
      <c r="I38" s="47">
        <v>1567821</v>
      </c>
      <c r="J38" s="47">
        <v>37331424</v>
      </c>
      <c r="K38" s="47">
        <v>2016402</v>
      </c>
      <c r="L38" s="47">
        <v>684491</v>
      </c>
      <c r="M38" s="47">
        <v>6184417</v>
      </c>
      <c r="N38" s="47">
        <v>684282</v>
      </c>
      <c r="O38" s="47">
        <v>684421</v>
      </c>
      <c r="P38" s="47">
        <v>630865</v>
      </c>
      <c r="Q38" s="47">
        <v>565532</v>
      </c>
      <c r="R38" s="47">
        <v>566089</v>
      </c>
      <c r="S38" s="47">
        <v>602345</v>
      </c>
      <c r="T38" s="29">
        <f t="shared" si="8"/>
        <v>53036262</v>
      </c>
      <c r="U38" s="29">
        <v>53036262</v>
      </c>
      <c r="V38" s="79"/>
    </row>
    <row r="39" spans="1:22">
      <c r="A39" s="36">
        <v>30502180407</v>
      </c>
      <c r="B39" s="36" t="s">
        <v>60</v>
      </c>
      <c r="C39" s="47">
        <v>110000000</v>
      </c>
      <c r="D39" s="57">
        <f>16000000+6750912+7602100</f>
        <v>30353012</v>
      </c>
      <c r="E39" s="47"/>
      <c r="F39" s="47"/>
      <c r="G39" s="39">
        <f t="shared" si="10"/>
        <v>140353012</v>
      </c>
      <c r="H39" s="47"/>
      <c r="I39" s="47"/>
      <c r="J39" s="47"/>
      <c r="K39" s="47">
        <v>49690300</v>
      </c>
      <c r="L39" s="47"/>
      <c r="M39" s="47">
        <v>17969996</v>
      </c>
      <c r="N39" s="47"/>
      <c r="O39" s="47">
        <v>4500000</v>
      </c>
      <c r="P39" s="47">
        <v>53000000</v>
      </c>
      <c r="Q39" s="47"/>
      <c r="R39" s="47">
        <v>14600000</v>
      </c>
      <c r="S39" s="47"/>
      <c r="T39" s="29">
        <f t="shared" si="8"/>
        <v>139760296</v>
      </c>
      <c r="U39" s="29">
        <v>98754622</v>
      </c>
      <c r="V39" s="80"/>
    </row>
    <row r="40" spans="1:22">
      <c r="A40" s="36">
        <v>30502180408</v>
      </c>
      <c r="B40" s="36" t="s">
        <v>61</v>
      </c>
      <c r="C40" s="47">
        <v>50000000</v>
      </c>
      <c r="D40" s="47"/>
      <c r="E40" s="47">
        <v>5000000</v>
      </c>
      <c r="F40" s="47"/>
      <c r="G40" s="39">
        <f t="shared" si="10"/>
        <v>45000000</v>
      </c>
      <c r="H40" s="47"/>
      <c r="I40" s="47"/>
      <c r="J40" s="47">
        <v>10000000</v>
      </c>
      <c r="K40" s="47"/>
      <c r="L40" s="47">
        <f>8193443+1417827</f>
        <v>9611270</v>
      </c>
      <c r="M40" s="47"/>
      <c r="N40" s="47">
        <v>426406</v>
      </c>
      <c r="O40" s="47"/>
      <c r="P40" s="47"/>
      <c r="Q40" s="47"/>
      <c r="R40" s="47"/>
      <c r="S40" s="47"/>
      <c r="T40" s="29">
        <f t="shared" si="8"/>
        <v>20037676</v>
      </c>
      <c r="U40" s="29">
        <v>20037676</v>
      </c>
      <c r="V40" s="79"/>
    </row>
    <row r="41" spans="1:22">
      <c r="A41" s="36">
        <v>30502180409</v>
      </c>
      <c r="B41" s="36" t="s">
        <v>62</v>
      </c>
      <c r="C41" s="47">
        <v>200000000</v>
      </c>
      <c r="D41" s="47"/>
      <c r="E41" s="47">
        <f>10000000+10000000+9250000</f>
        <v>29250000</v>
      </c>
      <c r="F41" s="47"/>
      <c r="G41" s="39">
        <f t="shared" si="10"/>
        <v>170750000</v>
      </c>
      <c r="H41" s="47">
        <v>11769531</v>
      </c>
      <c r="I41" s="47">
        <v>14629602</v>
      </c>
      <c r="J41" s="47">
        <v>12489844</v>
      </c>
      <c r="K41" s="47">
        <v>13211685</v>
      </c>
      <c r="L41" s="47">
        <v>11026158</v>
      </c>
      <c r="M41" s="47">
        <v>11006783</v>
      </c>
      <c r="N41" s="47">
        <v>16023499</v>
      </c>
      <c r="O41" s="47">
        <v>15281275</v>
      </c>
      <c r="P41" s="47">
        <v>13076469</v>
      </c>
      <c r="Q41" s="47">
        <v>14244941</v>
      </c>
      <c r="R41" s="47">
        <v>13230027</v>
      </c>
      <c r="S41" s="47">
        <v>10151322</v>
      </c>
      <c r="T41" s="29">
        <f t="shared" si="8"/>
        <v>156141136</v>
      </c>
      <c r="U41" s="29">
        <v>156141136</v>
      </c>
      <c r="V41" s="79"/>
    </row>
    <row r="42" spans="1:22">
      <c r="A42" s="36">
        <v>30502180410</v>
      </c>
      <c r="B42" s="36" t="s">
        <v>63</v>
      </c>
      <c r="C42" s="47">
        <v>45000000</v>
      </c>
      <c r="D42" s="47"/>
      <c r="E42" s="47">
        <f>5000000+10000000</f>
        <v>15000000</v>
      </c>
      <c r="F42" s="47"/>
      <c r="G42" s="39">
        <f t="shared" si="10"/>
        <v>30000000</v>
      </c>
      <c r="H42" s="47">
        <v>2274753</v>
      </c>
      <c r="I42" s="47">
        <v>2538929</v>
      </c>
      <c r="J42" s="47">
        <v>1154672</v>
      </c>
      <c r="K42" s="47">
        <v>4884255</v>
      </c>
      <c r="L42" s="47">
        <v>2983442</v>
      </c>
      <c r="M42" s="47"/>
      <c r="N42" s="47">
        <v>935643</v>
      </c>
      <c r="O42" s="47">
        <v>4737651</v>
      </c>
      <c r="P42" s="47">
        <v>1392684</v>
      </c>
      <c r="Q42" s="47">
        <v>2934476</v>
      </c>
      <c r="R42" s="47">
        <v>1546684</v>
      </c>
      <c r="S42" s="47"/>
      <c r="T42" s="29">
        <f>H42+I42+J42+K42+L42+M42+N42+O42+P42+Q42+R42+S42</f>
        <v>25383189</v>
      </c>
      <c r="U42" s="29">
        <v>25383189</v>
      </c>
      <c r="V42" s="79"/>
    </row>
    <row r="43" spans="1:22">
      <c r="A43" s="36">
        <v>30502180411</v>
      </c>
      <c r="B43" s="36" t="s">
        <v>64</v>
      </c>
      <c r="C43" s="47">
        <v>130000000</v>
      </c>
      <c r="D43" s="47">
        <v>8669200</v>
      </c>
      <c r="E43" s="47">
        <v>28115000</v>
      </c>
      <c r="F43" s="57">
        <v>16947250</v>
      </c>
      <c r="G43" s="39">
        <f t="shared" si="10"/>
        <v>127501450</v>
      </c>
      <c r="H43" s="47">
        <v>0</v>
      </c>
      <c r="I43" s="47">
        <v>0</v>
      </c>
      <c r="J43" s="47">
        <v>49885000</v>
      </c>
      <c r="K43" s="47">
        <v>52000000</v>
      </c>
      <c r="L43" s="47">
        <v>0</v>
      </c>
      <c r="M43" s="47">
        <v>16947250</v>
      </c>
      <c r="N43" s="47">
        <v>0</v>
      </c>
      <c r="O43" s="47"/>
      <c r="P43" s="47"/>
      <c r="Q43" s="47"/>
      <c r="R43" s="47"/>
      <c r="S43" s="47">
        <v>8472000</v>
      </c>
      <c r="T43" s="29">
        <f>H43+I43+J43+K43+L43+M43+N43+O43+P43+Q43+R43+S43</f>
        <v>127304250</v>
      </c>
      <c r="U43" s="29">
        <v>127304250</v>
      </c>
      <c r="V43" s="79"/>
    </row>
    <row r="44" spans="1:22">
      <c r="A44" s="36">
        <v>30502180412</v>
      </c>
      <c r="B44" s="36" t="s">
        <v>65</v>
      </c>
      <c r="C44" s="47">
        <v>18000000</v>
      </c>
      <c r="D44" s="47"/>
      <c r="E44" s="47">
        <f>8000000+3000000</f>
        <v>11000000</v>
      </c>
      <c r="G44" s="39">
        <f t="shared" si="10"/>
        <v>7000000</v>
      </c>
      <c r="H44" s="47"/>
      <c r="I44" s="47"/>
      <c r="J44" s="47">
        <v>6000000</v>
      </c>
      <c r="K44" s="47"/>
      <c r="L44" s="47">
        <v>0</v>
      </c>
      <c r="M44" s="47"/>
      <c r="N44" s="47">
        <v>0</v>
      </c>
      <c r="O44" s="47"/>
      <c r="P44" s="47"/>
      <c r="Q44" s="47"/>
      <c r="R44" s="47"/>
      <c r="S44" s="47"/>
      <c r="T44" s="29">
        <f t="shared" si="8"/>
        <v>6000000</v>
      </c>
      <c r="U44" s="29">
        <v>6000000</v>
      </c>
      <c r="V44" s="79"/>
    </row>
    <row r="45" spans="1:22">
      <c r="A45" s="36">
        <v>30502180413</v>
      </c>
      <c r="B45" s="36" t="s">
        <v>66</v>
      </c>
      <c r="C45" s="47">
        <v>10000000</v>
      </c>
      <c r="D45" s="47">
        <v>10000000</v>
      </c>
      <c r="E45" s="47"/>
      <c r="F45" s="47"/>
      <c r="G45" s="39">
        <f t="shared" si="10"/>
        <v>20000000</v>
      </c>
      <c r="H45" s="47"/>
      <c r="I45" s="47">
        <v>8954621</v>
      </c>
      <c r="J45" s="47">
        <v>3785924</v>
      </c>
      <c r="K45" s="47">
        <v>2544635</v>
      </c>
      <c r="L45" s="47">
        <v>0</v>
      </c>
      <c r="M45" s="47"/>
      <c r="N45" s="47">
        <v>0</v>
      </c>
      <c r="O45" s="47"/>
      <c r="P45" s="47"/>
      <c r="Q45" s="47"/>
      <c r="R45" s="47"/>
      <c r="S45" s="47"/>
      <c r="T45" s="29">
        <f t="shared" si="8"/>
        <v>15285180</v>
      </c>
      <c r="U45" s="29">
        <v>15285180</v>
      </c>
      <c r="V45" s="79"/>
    </row>
    <row r="46" spans="1:22">
      <c r="A46" s="36">
        <v>30502180414</v>
      </c>
      <c r="B46" s="36" t="s">
        <v>67</v>
      </c>
      <c r="C46" s="47">
        <v>1000000</v>
      </c>
      <c r="D46" s="47"/>
      <c r="E46" s="47">
        <v>500000</v>
      </c>
      <c r="F46" s="47"/>
      <c r="G46" s="39">
        <f t="shared" si="10"/>
        <v>500000</v>
      </c>
      <c r="H46" s="47"/>
      <c r="I46" s="47"/>
      <c r="J46" s="47"/>
      <c r="K46" s="47"/>
      <c r="L46" s="47">
        <v>0</v>
      </c>
      <c r="M46" s="47"/>
      <c r="N46" s="47">
        <v>0</v>
      </c>
      <c r="O46" s="47"/>
      <c r="P46" s="47"/>
      <c r="Q46" s="47"/>
      <c r="R46" s="47"/>
      <c r="S46" s="47"/>
      <c r="T46" s="29">
        <f t="shared" si="8"/>
        <v>0</v>
      </c>
      <c r="U46" s="29">
        <v>0</v>
      </c>
      <c r="V46" s="79"/>
    </row>
    <row r="47" spans="1:22">
      <c r="A47" s="36"/>
      <c r="B47" s="36" t="s">
        <v>68</v>
      </c>
      <c r="C47" s="47"/>
      <c r="D47" s="47"/>
      <c r="E47" s="47"/>
      <c r="F47" s="47"/>
      <c r="G47" s="47"/>
      <c r="H47" s="47"/>
      <c r="I47" s="47"/>
      <c r="J47" s="47"/>
      <c r="K47" s="47"/>
      <c r="L47" s="47">
        <v>0</v>
      </c>
      <c r="M47" s="47"/>
      <c r="N47" s="47"/>
      <c r="O47" s="47"/>
      <c r="P47" s="47"/>
      <c r="Q47" s="47"/>
      <c r="R47" s="47"/>
      <c r="S47" s="47"/>
      <c r="T47" s="29"/>
      <c r="U47" s="29"/>
    </row>
    <row r="48" spans="1:22">
      <c r="A48" s="36"/>
      <c r="B48" s="36" t="s">
        <v>69</v>
      </c>
      <c r="C48" s="25">
        <f t="shared" ref="C48:U48" si="11">SUM(C49:C52)</f>
        <v>703000000</v>
      </c>
      <c r="D48" s="25">
        <f t="shared" si="11"/>
        <v>81000000</v>
      </c>
      <c r="E48" s="25">
        <f t="shared" si="11"/>
        <v>239000000</v>
      </c>
      <c r="F48" s="25">
        <f t="shared" si="11"/>
        <v>0</v>
      </c>
      <c r="G48" s="25">
        <f t="shared" si="11"/>
        <v>545000000</v>
      </c>
      <c r="H48" s="25">
        <f t="shared" si="11"/>
        <v>32560654</v>
      </c>
      <c r="I48" s="25">
        <f t="shared" si="11"/>
        <v>342410827</v>
      </c>
      <c r="J48" s="25">
        <f t="shared" si="11"/>
        <v>6958017</v>
      </c>
      <c r="K48" s="25">
        <f t="shared" si="11"/>
        <v>5205672</v>
      </c>
      <c r="L48" s="25">
        <f t="shared" si="11"/>
        <v>7331452</v>
      </c>
      <c r="M48" s="25">
        <f t="shared" si="11"/>
        <v>96268562</v>
      </c>
      <c r="N48" s="25">
        <f t="shared" si="11"/>
        <v>7843787</v>
      </c>
      <c r="O48" s="25">
        <f t="shared" si="11"/>
        <v>5847640</v>
      </c>
      <c r="P48" s="25">
        <f t="shared" si="11"/>
        <v>6608555</v>
      </c>
      <c r="Q48" s="25">
        <f t="shared" si="11"/>
        <v>5205672</v>
      </c>
      <c r="R48" s="25">
        <f t="shared" si="11"/>
        <v>6888290</v>
      </c>
      <c r="S48" s="25">
        <f t="shared" si="11"/>
        <v>10411344</v>
      </c>
      <c r="T48" s="25">
        <f t="shared" si="11"/>
        <v>533540472</v>
      </c>
      <c r="U48" s="25">
        <f t="shared" si="11"/>
        <v>533540472</v>
      </c>
    </row>
    <row r="49" spans="1:22">
      <c r="A49" s="36">
        <v>30503180401</v>
      </c>
      <c r="B49" s="36" t="s">
        <v>70</v>
      </c>
      <c r="C49" s="47">
        <v>100000000</v>
      </c>
      <c r="D49" s="29"/>
      <c r="E49" s="47">
        <f>20000000+5000000</f>
        <v>25000000</v>
      </c>
      <c r="F49" s="16"/>
      <c r="G49" s="39">
        <f>C49+D49-E49+F49</f>
        <v>75000000</v>
      </c>
      <c r="H49" s="26">
        <v>5895127</v>
      </c>
      <c r="I49" s="47">
        <v>5205672</v>
      </c>
      <c r="J49" s="45">
        <v>5895127</v>
      </c>
      <c r="K49" s="45">
        <v>5205672</v>
      </c>
      <c r="L49" s="45">
        <v>5205672</v>
      </c>
      <c r="M49" s="45">
        <v>6268562</v>
      </c>
      <c r="N49" s="45">
        <v>6199989</v>
      </c>
      <c r="O49" s="45">
        <v>5205372</v>
      </c>
      <c r="P49" s="45">
        <v>5205672</v>
      </c>
      <c r="Q49" s="45">
        <v>5205672</v>
      </c>
      <c r="R49" s="45">
        <v>5205672</v>
      </c>
      <c r="S49" s="45">
        <v>10411344</v>
      </c>
      <c r="T49" s="29">
        <f t="shared" ref="T49:T74" si="12">H49+I49+J49+K49+L49+M49+N49+O49+P49+Q49+R49+S49</f>
        <v>71109553</v>
      </c>
      <c r="U49" s="29">
        <v>71109553</v>
      </c>
      <c r="V49" s="79"/>
    </row>
    <row r="50" spans="1:22">
      <c r="A50" s="36">
        <v>30503180402</v>
      </c>
      <c r="B50" s="36" t="s">
        <v>71</v>
      </c>
      <c r="C50" s="47">
        <v>1000000</v>
      </c>
      <c r="D50" s="29"/>
      <c r="E50" s="47"/>
      <c r="F50" s="16"/>
      <c r="G50" s="39">
        <f>C50+D50-E50+F50</f>
        <v>1000000</v>
      </c>
      <c r="H50" s="26"/>
      <c r="I50" s="35"/>
      <c r="J50" s="45"/>
      <c r="K50" s="45"/>
      <c r="L50" s="45"/>
      <c r="M50" s="45"/>
      <c r="N50" s="45">
        <v>0</v>
      </c>
      <c r="O50" s="45"/>
      <c r="P50" s="45"/>
      <c r="Q50" s="45"/>
      <c r="R50" s="45"/>
      <c r="S50" s="45"/>
      <c r="T50" s="29">
        <f t="shared" si="12"/>
        <v>0</v>
      </c>
      <c r="U50" s="29">
        <v>0</v>
      </c>
      <c r="V50" s="79"/>
    </row>
    <row r="51" spans="1:22">
      <c r="A51" s="36">
        <v>30503180403</v>
      </c>
      <c r="B51" s="36" t="s">
        <v>72</v>
      </c>
      <c r="C51" s="47">
        <v>580000000</v>
      </c>
      <c r="D51" s="47">
        <v>55000000</v>
      </c>
      <c r="E51" s="47">
        <v>180000000</v>
      </c>
      <c r="G51" s="39">
        <f>C51+D51-E51+F51</f>
        <v>455000000</v>
      </c>
      <c r="H51" s="26">
        <v>13547476</v>
      </c>
      <c r="I51" s="34">
        <v>337148646</v>
      </c>
      <c r="J51" s="45">
        <v>1062890</v>
      </c>
      <c r="K51" s="45"/>
      <c r="L51" s="45">
        <v>2125780</v>
      </c>
      <c r="M51" s="45">
        <v>90000000</v>
      </c>
      <c r="N51" s="45">
        <v>1544923</v>
      </c>
      <c r="O51" s="45">
        <v>642268</v>
      </c>
      <c r="P51" s="45">
        <v>1402883</v>
      </c>
      <c r="Q51" s="45"/>
      <c r="R51" s="45">
        <v>1682618</v>
      </c>
      <c r="S51" s="45"/>
      <c r="T51" s="29">
        <f t="shared" si="12"/>
        <v>449157484</v>
      </c>
      <c r="U51" s="29">
        <v>449157484</v>
      </c>
      <c r="V51" s="79"/>
    </row>
    <row r="52" spans="1:22">
      <c r="A52" s="36">
        <v>30503180404</v>
      </c>
      <c r="B52" s="36" t="s">
        <v>73</v>
      </c>
      <c r="C52" s="47">
        <v>22000000</v>
      </c>
      <c r="D52" s="41">
        <v>26000000</v>
      </c>
      <c r="E52" s="47">
        <f>26000000+5000000+3000000</f>
        <v>34000000</v>
      </c>
      <c r="F52" s="47"/>
      <c r="G52" s="39">
        <f>C52+D52-E52+F52</f>
        <v>14000000</v>
      </c>
      <c r="H52" s="26">
        <v>13118051</v>
      </c>
      <c r="I52" s="34">
        <v>56509</v>
      </c>
      <c r="J52" s="16"/>
      <c r="K52" s="16"/>
      <c r="L52" s="16"/>
      <c r="M52" s="16"/>
      <c r="N52" s="45">
        <v>98875</v>
      </c>
      <c r="O52" s="45"/>
      <c r="P52" s="45"/>
      <c r="Q52" s="45"/>
      <c r="R52" s="45"/>
      <c r="S52" s="45"/>
      <c r="T52" s="29">
        <f t="shared" si="12"/>
        <v>13273435</v>
      </c>
      <c r="U52" s="29">
        <v>13273435</v>
      </c>
      <c r="V52" s="79"/>
    </row>
    <row r="53" spans="1:22">
      <c r="A53" s="36"/>
      <c r="B53" s="36" t="s">
        <v>74</v>
      </c>
      <c r="C53" s="47">
        <f>SUM(C54:C56)</f>
        <v>305000000</v>
      </c>
      <c r="D53" s="53">
        <f>SUM(D54:D56)</f>
        <v>10000000</v>
      </c>
      <c r="E53" s="53">
        <f>SUM(E54:E56)</f>
        <v>113447800</v>
      </c>
      <c r="F53" s="47"/>
      <c r="G53" s="25">
        <f t="shared" ref="G53:U53" si="13">SUM(G54:G56)</f>
        <v>201552200</v>
      </c>
      <c r="H53" s="25">
        <f t="shared" si="13"/>
        <v>13648617</v>
      </c>
      <c r="I53" s="25">
        <f t="shared" si="13"/>
        <v>22360922</v>
      </c>
      <c r="J53" s="25">
        <f t="shared" si="13"/>
        <v>10862682</v>
      </c>
      <c r="K53" s="25">
        <f t="shared" si="13"/>
        <v>13018497</v>
      </c>
      <c r="L53" s="25">
        <f t="shared" si="13"/>
        <v>24177963</v>
      </c>
      <c r="M53" s="25">
        <f t="shared" si="13"/>
        <v>227128</v>
      </c>
      <c r="N53" s="25">
        <f t="shared" si="13"/>
        <v>8795411</v>
      </c>
      <c r="O53" s="25">
        <f t="shared" si="13"/>
        <v>18092559</v>
      </c>
      <c r="P53" s="25">
        <f t="shared" si="13"/>
        <v>9281725</v>
      </c>
      <c r="Q53" s="25">
        <f t="shared" si="13"/>
        <v>7578374</v>
      </c>
      <c r="R53" s="25">
        <f t="shared" si="13"/>
        <v>18768830</v>
      </c>
      <c r="S53" s="25">
        <f t="shared" si="13"/>
        <v>9707004</v>
      </c>
      <c r="T53" s="25">
        <f t="shared" si="13"/>
        <v>156519712</v>
      </c>
      <c r="U53" s="25">
        <f t="shared" si="13"/>
        <v>151470568</v>
      </c>
    </row>
    <row r="54" spans="1:22">
      <c r="A54" s="36">
        <v>30503180405</v>
      </c>
      <c r="B54" s="36" t="s">
        <v>75</v>
      </c>
      <c r="C54" s="47">
        <v>50000000</v>
      </c>
      <c r="D54" s="41"/>
      <c r="E54" s="29">
        <f>20975370+10000000+10000000</f>
        <v>40975370</v>
      </c>
      <c r="F54" s="47"/>
      <c r="G54" s="39">
        <f>C54+D54-E54+F54</f>
        <v>9024630</v>
      </c>
      <c r="H54" s="26"/>
      <c r="I54" s="35"/>
      <c r="J54" s="16"/>
      <c r="K54" s="16"/>
      <c r="L54" s="16"/>
      <c r="M54" s="16"/>
      <c r="N54" s="16">
        <v>0</v>
      </c>
      <c r="O54" s="16"/>
      <c r="P54" s="16"/>
      <c r="Q54" s="16"/>
      <c r="R54" s="16"/>
      <c r="S54" s="45">
        <v>6498369</v>
      </c>
      <c r="T54" s="29">
        <f t="shared" si="12"/>
        <v>6498369</v>
      </c>
      <c r="U54" s="29">
        <v>0</v>
      </c>
      <c r="V54" s="80"/>
    </row>
    <row r="55" spans="1:22">
      <c r="A55" s="36">
        <v>30503180406</v>
      </c>
      <c r="B55" s="36" t="s">
        <v>76</v>
      </c>
      <c r="C55" s="47">
        <v>95000000</v>
      </c>
      <c r="D55" s="41">
        <v>10000000</v>
      </c>
      <c r="E55" s="29">
        <f>45000000+7472430</f>
        <v>52472430</v>
      </c>
      <c r="F55" s="47"/>
      <c r="G55" s="39">
        <f>C55+D55-E55+F55</f>
        <v>52527570</v>
      </c>
      <c r="H55" s="26"/>
      <c r="I55" s="34">
        <v>400000</v>
      </c>
      <c r="J55" s="16"/>
      <c r="K55" s="50">
        <v>8190528</v>
      </c>
      <c r="L55" s="16"/>
      <c r="M55" s="16"/>
      <c r="N55" s="45">
        <v>700000</v>
      </c>
      <c r="O55" s="45">
        <v>1050000</v>
      </c>
      <c r="P55" s="45">
        <v>1200000</v>
      </c>
      <c r="Q55" s="45">
        <v>792000</v>
      </c>
      <c r="R55" s="45">
        <v>10000000</v>
      </c>
      <c r="S55" s="45"/>
      <c r="T55" s="29">
        <f t="shared" si="12"/>
        <v>22332528</v>
      </c>
      <c r="U55" s="29">
        <v>22332528</v>
      </c>
      <c r="V55" s="79"/>
    </row>
    <row r="56" spans="1:22">
      <c r="A56" s="36">
        <v>30503180407</v>
      </c>
      <c r="B56" s="36" t="s">
        <v>77</v>
      </c>
      <c r="C56" s="47">
        <v>160000000</v>
      </c>
      <c r="D56" s="41"/>
      <c r="E56" s="29">
        <v>20000000</v>
      </c>
      <c r="F56" s="47"/>
      <c r="G56" s="39">
        <f>C56+D56-E56+F56</f>
        <v>140000000</v>
      </c>
      <c r="H56" s="26">
        <v>13648617</v>
      </c>
      <c r="I56" s="34">
        <v>21960922</v>
      </c>
      <c r="J56" s="45">
        <v>10862682</v>
      </c>
      <c r="K56" s="45">
        <v>4827969</v>
      </c>
      <c r="L56" s="45">
        <v>24177963</v>
      </c>
      <c r="M56" s="45">
        <v>227128</v>
      </c>
      <c r="N56" s="45">
        <v>8095411</v>
      </c>
      <c r="O56" s="45">
        <v>17042559</v>
      </c>
      <c r="P56" s="45">
        <v>8081725</v>
      </c>
      <c r="Q56" s="45">
        <v>6786374</v>
      </c>
      <c r="R56" s="45">
        <v>8768830</v>
      </c>
      <c r="S56" s="45">
        <v>3208635</v>
      </c>
      <c r="T56" s="29">
        <f t="shared" si="12"/>
        <v>127688815</v>
      </c>
      <c r="U56" s="29">
        <v>129138040</v>
      </c>
      <c r="V56" s="79"/>
    </row>
    <row r="57" spans="1:22" ht="18.75">
      <c r="A57" s="36"/>
      <c r="B57" s="37" t="s">
        <v>78</v>
      </c>
      <c r="C57" s="27">
        <f t="shared" ref="C57:S57" si="14">C5+C17+C22+C30+C37+C48+C53</f>
        <v>8120000000</v>
      </c>
      <c r="D57" s="27">
        <f t="shared" si="14"/>
        <v>1231810194</v>
      </c>
      <c r="E57" s="27">
        <f t="shared" si="14"/>
        <v>1231810194</v>
      </c>
      <c r="F57" s="27">
        <f t="shared" si="14"/>
        <v>78662250</v>
      </c>
      <c r="G57" s="27">
        <f t="shared" si="14"/>
        <v>8198662250</v>
      </c>
      <c r="H57" s="27">
        <f t="shared" si="14"/>
        <v>429187102</v>
      </c>
      <c r="I57" s="27">
        <f t="shared" si="14"/>
        <v>818947518</v>
      </c>
      <c r="J57" s="27">
        <f t="shared" si="14"/>
        <v>1335835265</v>
      </c>
      <c r="K57" s="27">
        <f t="shared" si="14"/>
        <v>709282180</v>
      </c>
      <c r="L57" s="27">
        <f t="shared" si="14"/>
        <v>409504690</v>
      </c>
      <c r="M57" s="27">
        <f t="shared" si="14"/>
        <v>722752216</v>
      </c>
      <c r="N57" s="27">
        <f t="shared" si="14"/>
        <v>842603435</v>
      </c>
      <c r="O57" s="27">
        <f t="shared" si="14"/>
        <v>543112171</v>
      </c>
      <c r="P57" s="27">
        <f t="shared" si="14"/>
        <v>528916541</v>
      </c>
      <c r="Q57" s="27">
        <f t="shared" si="14"/>
        <v>333888579</v>
      </c>
      <c r="R57" s="27">
        <f t="shared" si="14"/>
        <v>500349518</v>
      </c>
      <c r="S57" s="27">
        <f t="shared" si="14"/>
        <v>697736894</v>
      </c>
      <c r="T57" s="27">
        <f>T5+T17+T22+T30+T37+T48+T53</f>
        <v>7872116109</v>
      </c>
      <c r="U57" s="27">
        <f>U5+U17+U22+U30+U37+U48+U53</f>
        <v>7135534806</v>
      </c>
    </row>
    <row r="58" spans="1:22">
      <c r="A58" s="36"/>
      <c r="B58" s="36" t="s">
        <v>11</v>
      </c>
      <c r="C58" s="26">
        <v>0</v>
      </c>
      <c r="D58" s="28"/>
      <c r="E58" s="16"/>
      <c r="F58" s="16"/>
      <c r="G58" s="16"/>
      <c r="H58" s="2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29">
        <f t="shared" si="12"/>
        <v>0</v>
      </c>
      <c r="U58" s="29"/>
    </row>
    <row r="59" spans="1:22">
      <c r="A59" s="36">
        <v>305061804</v>
      </c>
      <c r="B59" s="36" t="s">
        <v>79</v>
      </c>
      <c r="C59" s="26">
        <v>0</v>
      </c>
      <c r="D59" s="16"/>
      <c r="E59" s="16"/>
      <c r="F59" s="16"/>
      <c r="G59" s="39">
        <f>C59+D59-E59+F59</f>
        <v>0</v>
      </c>
      <c r="H59" s="2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29">
        <f t="shared" si="12"/>
        <v>0</v>
      </c>
      <c r="U59" s="29"/>
    </row>
    <row r="60" spans="1:22">
      <c r="A60" s="36">
        <v>30506180401</v>
      </c>
      <c r="B60" s="36" t="s">
        <v>80</v>
      </c>
      <c r="C60" s="26">
        <v>0</v>
      </c>
      <c r="D60" s="16"/>
      <c r="E60" s="26"/>
      <c r="F60" s="16"/>
      <c r="G60" s="39">
        <f>C60+D60-E60+F60</f>
        <v>0</v>
      </c>
      <c r="H60" s="2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29">
        <f t="shared" si="12"/>
        <v>0</v>
      </c>
      <c r="U60" s="29"/>
    </row>
    <row r="61" spans="1:22">
      <c r="A61" s="36">
        <v>30506180402</v>
      </c>
      <c r="B61" s="36" t="s">
        <v>81</v>
      </c>
      <c r="C61" s="26">
        <v>0</v>
      </c>
      <c r="D61" s="16"/>
      <c r="E61" s="16"/>
      <c r="F61" s="16"/>
      <c r="G61" s="39">
        <f>C61+D61-E61+F61</f>
        <v>0</v>
      </c>
      <c r="H61" s="2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29">
        <f t="shared" si="12"/>
        <v>0</v>
      </c>
      <c r="U61" s="29"/>
    </row>
    <row r="62" spans="1:22">
      <c r="A62" s="36"/>
      <c r="B62" s="36" t="s">
        <v>82</v>
      </c>
      <c r="C62" s="26">
        <v>0</v>
      </c>
      <c r="D62" s="16"/>
      <c r="E62" s="16"/>
      <c r="F62" s="16"/>
      <c r="G62" s="16"/>
      <c r="H62" s="2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29">
        <f t="shared" si="12"/>
        <v>0</v>
      </c>
      <c r="U62" s="29"/>
    </row>
    <row r="63" spans="1:22">
      <c r="A63" s="36"/>
      <c r="B63" s="36" t="s">
        <v>83</v>
      </c>
      <c r="C63" s="16"/>
      <c r="D63" s="16"/>
      <c r="E63" s="16"/>
      <c r="F63" s="16"/>
      <c r="G63" s="16"/>
      <c r="H63" s="2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29">
        <f t="shared" si="12"/>
        <v>0</v>
      </c>
      <c r="U63" s="29"/>
    </row>
    <row r="64" spans="1:22">
      <c r="A64" s="36">
        <v>30507180401</v>
      </c>
      <c r="B64" s="36" t="s">
        <v>14</v>
      </c>
      <c r="C64" s="47">
        <v>200000000</v>
      </c>
      <c r="D64" s="47">
        <v>240300000</v>
      </c>
      <c r="E64" s="47">
        <v>419500000</v>
      </c>
      <c r="F64" s="47">
        <v>506818084.30000001</v>
      </c>
      <c r="G64" s="39">
        <f t="shared" ref="G64:G74" si="15">C64+D64-E64+F64</f>
        <v>527618084.30000001</v>
      </c>
      <c r="H64" s="26">
        <v>0</v>
      </c>
      <c r="I64" s="16"/>
      <c r="J64" s="45"/>
      <c r="K64" s="45">
        <v>20800000</v>
      </c>
      <c r="L64" s="45">
        <v>458421414</v>
      </c>
      <c r="M64" s="45"/>
      <c r="N64" s="45"/>
      <c r="O64" s="45"/>
      <c r="P64" s="45"/>
      <c r="Q64" s="45"/>
      <c r="R64" s="45"/>
      <c r="S64" s="45"/>
      <c r="T64" s="29">
        <f t="shared" si="12"/>
        <v>479221414</v>
      </c>
      <c r="U64" s="29">
        <v>429251414</v>
      </c>
      <c r="V64" s="79"/>
    </row>
    <row r="65" spans="1:22">
      <c r="A65" s="36">
        <v>30507180402</v>
      </c>
      <c r="B65" s="36" t="s">
        <v>15</v>
      </c>
      <c r="C65" s="47">
        <v>800000000</v>
      </c>
      <c r="D65" s="47"/>
      <c r="E65" s="47">
        <f>46000000+593800000</f>
        <v>639800000</v>
      </c>
      <c r="F65" s="47"/>
      <c r="G65" s="39">
        <f t="shared" si="15"/>
        <v>160200000</v>
      </c>
      <c r="H65" s="26">
        <v>0</v>
      </c>
      <c r="I65" s="16"/>
      <c r="J65" s="45">
        <f>30000000+19200000</f>
        <v>49200000</v>
      </c>
      <c r="K65" s="45"/>
      <c r="L65" s="45">
        <v>0</v>
      </c>
      <c r="M65" s="45">
        <f>30000000+78510069</f>
        <v>108510069</v>
      </c>
      <c r="N65" s="45"/>
      <c r="O65" s="45"/>
      <c r="P65" s="45"/>
      <c r="Q65" s="45"/>
      <c r="R65" s="45"/>
      <c r="S65" s="45"/>
      <c r="T65" s="29">
        <f t="shared" si="12"/>
        <v>157710069</v>
      </c>
      <c r="U65" s="29">
        <v>157710069</v>
      </c>
      <c r="V65" s="79"/>
    </row>
    <row r="66" spans="1:22">
      <c r="A66" s="36">
        <v>30507180403</v>
      </c>
      <c r="B66" s="36" t="s">
        <v>16</v>
      </c>
      <c r="C66" s="47">
        <v>680000000</v>
      </c>
      <c r="D66" s="47">
        <v>60000000</v>
      </c>
      <c r="E66" s="47">
        <v>367215000</v>
      </c>
      <c r="F66" s="47">
        <v>83450000</v>
      </c>
      <c r="G66" s="39">
        <f t="shared" si="15"/>
        <v>456235000</v>
      </c>
      <c r="H66" s="26">
        <v>0</v>
      </c>
      <c r="I66" s="16"/>
      <c r="J66" s="45"/>
      <c r="K66" s="45">
        <v>199500000</v>
      </c>
      <c r="L66" s="45">
        <f>125680000+83450000</f>
        <v>209130000</v>
      </c>
      <c r="M66" s="45">
        <v>46400000</v>
      </c>
      <c r="N66" s="45"/>
      <c r="O66" s="45"/>
      <c r="P66" s="45"/>
      <c r="Q66" s="45"/>
      <c r="R66" s="45"/>
      <c r="S66" s="45"/>
      <c r="T66" s="29">
        <f t="shared" si="12"/>
        <v>455030000</v>
      </c>
      <c r="U66" s="29">
        <f>357030000+11440711.88</f>
        <v>368470711.88</v>
      </c>
      <c r="V66" s="79"/>
    </row>
    <row r="67" spans="1:22">
      <c r="A67" s="36">
        <v>30507180404</v>
      </c>
      <c r="B67" s="36" t="s">
        <v>17</v>
      </c>
      <c r="C67" s="47">
        <v>100000000</v>
      </c>
      <c r="D67" s="47"/>
      <c r="E67" s="47">
        <f>50000000+50000000</f>
        <v>100000000</v>
      </c>
      <c r="F67" s="47"/>
      <c r="G67" s="39">
        <f t="shared" si="15"/>
        <v>0</v>
      </c>
      <c r="H67" s="26">
        <v>0</v>
      </c>
      <c r="I67" s="16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29">
        <f t="shared" si="12"/>
        <v>0</v>
      </c>
      <c r="U67" s="29">
        <v>0</v>
      </c>
      <c r="V67" s="79"/>
    </row>
    <row r="68" spans="1:22">
      <c r="A68" s="36">
        <v>30507180405</v>
      </c>
      <c r="B68" s="36" t="s">
        <v>18</v>
      </c>
      <c r="C68" s="47">
        <v>500000000</v>
      </c>
      <c r="D68" s="47"/>
      <c r="E68" s="47">
        <f>342000000+158000000</f>
        <v>500000000</v>
      </c>
      <c r="F68" s="47">
        <v>83973782</v>
      </c>
      <c r="G68" s="39">
        <f t="shared" si="15"/>
        <v>83973782</v>
      </c>
      <c r="H68" s="26">
        <v>0</v>
      </c>
      <c r="I68" s="16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29">
        <f t="shared" si="12"/>
        <v>0</v>
      </c>
      <c r="U68" s="29">
        <v>0</v>
      </c>
      <c r="V68" s="79"/>
    </row>
    <row r="69" spans="1:22">
      <c r="A69" s="36">
        <v>30507180406</v>
      </c>
      <c r="B69" s="36" t="s">
        <v>19</v>
      </c>
      <c r="C69" s="47">
        <v>550000000</v>
      </c>
      <c r="D69" s="47">
        <v>137700000</v>
      </c>
      <c r="E69" s="47">
        <v>575531200</v>
      </c>
      <c r="F69" s="47">
        <v>57400000</v>
      </c>
      <c r="G69" s="39">
        <f t="shared" si="15"/>
        <v>169568800</v>
      </c>
      <c r="H69" s="26">
        <v>0</v>
      </c>
      <c r="I69" s="16"/>
      <c r="J69" s="45">
        <v>43750000</v>
      </c>
      <c r="K69" s="45">
        <v>27168800</v>
      </c>
      <c r="L69" s="45"/>
      <c r="M69" s="45">
        <v>1250000</v>
      </c>
      <c r="N69" s="45">
        <v>97356200</v>
      </c>
      <c r="O69" s="45"/>
      <c r="P69" s="45"/>
      <c r="Q69" s="45"/>
      <c r="R69" s="45"/>
      <c r="S69" s="45"/>
      <c r="T69" s="29">
        <f t="shared" si="12"/>
        <v>169525000</v>
      </c>
      <c r="U69" s="29">
        <v>169525000</v>
      </c>
      <c r="V69" s="79"/>
    </row>
    <row r="70" spans="1:22">
      <c r="A70" s="36">
        <v>30507180407</v>
      </c>
      <c r="B70" s="36" t="s">
        <v>316</v>
      </c>
      <c r="C70" s="16"/>
      <c r="D70" s="47">
        <v>0</v>
      </c>
      <c r="E70" s="54"/>
      <c r="F70" s="16"/>
      <c r="G70" s="39">
        <f t="shared" si="15"/>
        <v>0</v>
      </c>
      <c r="H70" s="16"/>
      <c r="I70" s="16"/>
      <c r="J70" s="16"/>
      <c r="K70" s="16"/>
      <c r="L70" s="16"/>
      <c r="M70" s="16"/>
      <c r="N70" s="16"/>
      <c r="O70" s="45"/>
      <c r="P70" s="45"/>
      <c r="Q70" s="45"/>
      <c r="R70" s="45"/>
      <c r="S70" s="45"/>
      <c r="T70" s="29">
        <f t="shared" si="12"/>
        <v>0</v>
      </c>
      <c r="U70" s="29"/>
      <c r="V70" s="81"/>
    </row>
    <row r="71" spans="1:22">
      <c r="A71" s="36">
        <v>30507180408</v>
      </c>
      <c r="B71" s="36" t="s">
        <v>317</v>
      </c>
      <c r="C71" s="16"/>
      <c r="D71" s="47">
        <v>915346200</v>
      </c>
      <c r="E71" s="55">
        <f>129499922+12428240</f>
        <v>141928162</v>
      </c>
      <c r="F71" s="16"/>
      <c r="G71" s="39">
        <f t="shared" si="15"/>
        <v>773418038</v>
      </c>
      <c r="H71" s="16"/>
      <c r="I71" s="16"/>
      <c r="J71" s="16"/>
      <c r="K71" s="16"/>
      <c r="L71" s="16"/>
      <c r="M71" s="16"/>
      <c r="N71" s="16"/>
      <c r="O71" s="45">
        <v>30000000</v>
      </c>
      <c r="P71" s="45">
        <v>60300012</v>
      </c>
      <c r="Q71" s="45">
        <v>324418468</v>
      </c>
      <c r="R71" s="45">
        <v>320153720</v>
      </c>
      <c r="S71" s="45"/>
      <c r="T71" s="29">
        <f t="shared" si="12"/>
        <v>734872200</v>
      </c>
      <c r="U71" s="29"/>
      <c r="V71" s="81"/>
    </row>
    <row r="72" spans="1:22">
      <c r="A72" s="36">
        <v>30507180409</v>
      </c>
      <c r="B72" s="36" t="s">
        <v>318</v>
      </c>
      <c r="C72" s="16"/>
      <c r="D72" s="47">
        <v>158000000</v>
      </c>
      <c r="E72" s="55"/>
      <c r="F72" s="16"/>
      <c r="G72" s="39">
        <f t="shared" si="15"/>
        <v>158000000</v>
      </c>
      <c r="H72" s="16"/>
      <c r="I72" s="16"/>
      <c r="J72" s="16"/>
      <c r="K72" s="16"/>
      <c r="L72" s="16"/>
      <c r="M72" s="16"/>
      <c r="N72" s="16"/>
      <c r="O72" s="45">
        <v>152600000</v>
      </c>
      <c r="P72" s="45"/>
      <c r="Q72" s="45"/>
      <c r="R72" s="45"/>
      <c r="S72" s="45"/>
      <c r="T72" s="29">
        <f t="shared" si="12"/>
        <v>152600000</v>
      </c>
      <c r="U72" s="29"/>
      <c r="V72" s="81"/>
    </row>
    <row r="73" spans="1:22">
      <c r="A73" s="36">
        <v>30507180410</v>
      </c>
      <c r="B73" s="36" t="s">
        <v>16</v>
      </c>
      <c r="C73" s="16"/>
      <c r="D73" s="47">
        <v>354400000</v>
      </c>
      <c r="E73" s="16"/>
      <c r="F73" s="16"/>
      <c r="G73" s="39">
        <f t="shared" si="15"/>
        <v>354400000</v>
      </c>
      <c r="H73" s="16"/>
      <c r="I73" s="16"/>
      <c r="J73" s="16"/>
      <c r="K73" s="16"/>
      <c r="L73" s="16"/>
      <c r="M73" s="16"/>
      <c r="N73" s="16"/>
      <c r="O73" s="45">
        <v>56000000</v>
      </c>
      <c r="P73" s="45">
        <v>217900000</v>
      </c>
      <c r="Q73" s="45">
        <v>50500000</v>
      </c>
      <c r="R73" s="45">
        <v>30000000</v>
      </c>
      <c r="S73" s="45"/>
      <c r="T73" s="29">
        <f t="shared" si="12"/>
        <v>354400000</v>
      </c>
      <c r="U73" s="29">
        <v>202547865</v>
      </c>
      <c r="V73" s="79"/>
    </row>
    <row r="74" spans="1:22">
      <c r="A74" s="36">
        <v>30507180411</v>
      </c>
      <c r="B74" s="36" t="s">
        <v>319</v>
      </c>
      <c r="C74" s="16"/>
      <c r="D74" s="47">
        <f>736300000+129499922+12428240</f>
        <v>878228162</v>
      </c>
      <c r="E74" s="16"/>
      <c r="F74" s="16"/>
      <c r="G74" s="39">
        <f t="shared" si="15"/>
        <v>878228162</v>
      </c>
      <c r="H74" s="16"/>
      <c r="I74" s="16"/>
      <c r="J74" s="16"/>
      <c r="K74" s="16"/>
      <c r="L74" s="16"/>
      <c r="M74" s="16"/>
      <c r="N74" s="16"/>
      <c r="O74" s="45">
        <v>146886025</v>
      </c>
      <c r="P74" s="45">
        <v>75000000</v>
      </c>
      <c r="Q74" s="45">
        <v>490819884</v>
      </c>
      <c r="R74" s="45">
        <v>12500000</v>
      </c>
      <c r="S74" s="45">
        <f>129499922+12428240</f>
        <v>141928162</v>
      </c>
      <c r="T74" s="29">
        <f t="shared" si="12"/>
        <v>867134071</v>
      </c>
      <c r="U74" s="29">
        <v>321449622</v>
      </c>
      <c r="V74" s="81"/>
    </row>
    <row r="75" spans="1:22" ht="18.75">
      <c r="A75" s="36"/>
      <c r="B75" s="37" t="s">
        <v>84</v>
      </c>
      <c r="C75" s="48">
        <f t="shared" ref="C75:S75" si="16">C64+C65+C66+C67+C68+C69+C70+C71+C72+C73+C74</f>
        <v>2830000000</v>
      </c>
      <c r="D75" s="48">
        <f t="shared" si="16"/>
        <v>2743974362</v>
      </c>
      <c r="E75" s="48">
        <f t="shared" si="16"/>
        <v>2743974362</v>
      </c>
      <c r="F75" s="48">
        <f t="shared" si="16"/>
        <v>731641866.29999995</v>
      </c>
      <c r="G75" s="48">
        <f t="shared" si="16"/>
        <v>3561641866.3000002</v>
      </c>
      <c r="H75" s="48">
        <f t="shared" si="16"/>
        <v>0</v>
      </c>
      <c r="I75" s="48">
        <f t="shared" si="16"/>
        <v>0</v>
      </c>
      <c r="J75" s="48">
        <f t="shared" si="16"/>
        <v>92950000</v>
      </c>
      <c r="K75" s="48">
        <f t="shared" si="16"/>
        <v>247468800</v>
      </c>
      <c r="L75" s="48">
        <f t="shared" si="16"/>
        <v>667551414</v>
      </c>
      <c r="M75" s="48">
        <f t="shared" si="16"/>
        <v>156160069</v>
      </c>
      <c r="N75" s="48">
        <f t="shared" si="16"/>
        <v>97356200</v>
      </c>
      <c r="O75" s="48">
        <f t="shared" si="16"/>
        <v>385486025</v>
      </c>
      <c r="P75" s="48">
        <f t="shared" si="16"/>
        <v>353200012</v>
      </c>
      <c r="Q75" s="48">
        <f t="shared" si="16"/>
        <v>865738352</v>
      </c>
      <c r="R75" s="48">
        <f t="shared" si="16"/>
        <v>362653720</v>
      </c>
      <c r="S75" s="48">
        <f t="shared" si="16"/>
        <v>141928162</v>
      </c>
      <c r="T75" s="48">
        <f>T64+T65+T66+T67+T68+T69+T70+T71+T72+T73+T74</f>
        <v>3370492754</v>
      </c>
      <c r="U75" s="48">
        <f>U64+U65+U66+U67+U68+U69+U70+U71+U72+U73+U74</f>
        <v>1648954681.8800001</v>
      </c>
    </row>
    <row r="76" spans="1:22" ht="18.75">
      <c r="A76" s="65" t="s">
        <v>86</v>
      </c>
      <c r="B76" s="66"/>
      <c r="C76" s="48">
        <f t="shared" ref="C76:S76" si="17">C57+C75</f>
        <v>10950000000</v>
      </c>
      <c r="D76" s="48">
        <f t="shared" si="17"/>
        <v>3975784556</v>
      </c>
      <c r="E76" s="48">
        <f t="shared" si="17"/>
        <v>3975784556</v>
      </c>
      <c r="F76" s="48">
        <f t="shared" si="17"/>
        <v>810304116.29999995</v>
      </c>
      <c r="G76" s="48">
        <f t="shared" si="17"/>
        <v>11760304116.299999</v>
      </c>
      <c r="H76" s="48">
        <f t="shared" si="17"/>
        <v>429187102</v>
      </c>
      <c r="I76" s="48">
        <f t="shared" si="17"/>
        <v>818947518</v>
      </c>
      <c r="J76" s="48">
        <f t="shared" si="17"/>
        <v>1428785265</v>
      </c>
      <c r="K76" s="48">
        <f t="shared" si="17"/>
        <v>956750980</v>
      </c>
      <c r="L76" s="48">
        <f t="shared" si="17"/>
        <v>1077056104</v>
      </c>
      <c r="M76" s="48">
        <f t="shared" si="17"/>
        <v>878912285</v>
      </c>
      <c r="N76" s="48">
        <f t="shared" si="17"/>
        <v>939959635</v>
      </c>
      <c r="O76" s="48">
        <f t="shared" si="17"/>
        <v>928598196</v>
      </c>
      <c r="P76" s="48">
        <f t="shared" si="17"/>
        <v>882116553</v>
      </c>
      <c r="Q76" s="48">
        <f t="shared" si="17"/>
        <v>1199626931</v>
      </c>
      <c r="R76" s="48">
        <f t="shared" si="17"/>
        <v>863003238</v>
      </c>
      <c r="S76" s="48">
        <f t="shared" si="17"/>
        <v>839665056</v>
      </c>
      <c r="T76" s="48">
        <f>T57+T75</f>
        <v>11242608863</v>
      </c>
      <c r="U76" s="48">
        <f>U57+U75</f>
        <v>8784489487.8800011</v>
      </c>
    </row>
    <row r="78" spans="1:22">
      <c r="E78" s="61"/>
      <c r="Q78" s="56"/>
      <c r="R78" s="56"/>
      <c r="S78" s="56"/>
    </row>
    <row r="79" spans="1:22">
      <c r="E79" s="61" t="s">
        <v>332</v>
      </c>
    </row>
    <row r="80" spans="1:22">
      <c r="E80" s="61"/>
      <c r="F80" s="56"/>
      <c r="G80" s="43"/>
    </row>
    <row r="81" spans="4:20">
      <c r="E81" s="61"/>
    </row>
    <row r="82" spans="4:20">
      <c r="E82" s="61"/>
    </row>
    <row r="83" spans="4:20">
      <c r="E83" s="61"/>
    </row>
    <row r="84" spans="4:20">
      <c r="E84" s="61"/>
    </row>
    <row r="85" spans="4:20">
      <c r="D85" s="58"/>
      <c r="E85" s="61"/>
      <c r="F85" s="61"/>
    </row>
    <row r="86" spans="4:20">
      <c r="D86" s="58"/>
    </row>
    <row r="87" spans="4:20">
      <c r="D87" s="58"/>
    </row>
    <row r="88" spans="4:20">
      <c r="D88" s="58"/>
    </row>
    <row r="89" spans="4:20">
      <c r="D89" s="42"/>
    </row>
    <row r="95" spans="4:20">
      <c r="T95" s="43"/>
    </row>
  </sheetData>
  <mergeCells count="21">
    <mergeCell ref="A1:A2"/>
    <mergeCell ref="B1:B2"/>
    <mergeCell ref="F1:F2"/>
    <mergeCell ref="C1:C2"/>
    <mergeCell ref="D1:E1"/>
    <mergeCell ref="S1:S2"/>
    <mergeCell ref="A76:B76"/>
    <mergeCell ref="U1:U2"/>
    <mergeCell ref="J1:J2"/>
    <mergeCell ref="I1:I2"/>
    <mergeCell ref="G1:G2"/>
    <mergeCell ref="H1:H2"/>
    <mergeCell ref="T1:T2"/>
    <mergeCell ref="K1:K2"/>
    <mergeCell ref="L1:L2"/>
    <mergeCell ref="M1:M2"/>
    <mergeCell ref="N1:N2"/>
    <mergeCell ref="O1:O2"/>
    <mergeCell ref="P1:P2"/>
    <mergeCell ref="Q1:Q2"/>
    <mergeCell ref="R1:R2"/>
  </mergeCells>
  <pageMargins left="2.11" right="0.7" top="0.75" bottom="0.75" header="0.3" footer="0.3"/>
  <pageSetup paperSize="5" scale="5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0"/>
  <sheetViews>
    <sheetView zoomScaleNormal="100" workbookViewId="0">
      <selection activeCell="S53" sqref="S53:S59"/>
    </sheetView>
  </sheetViews>
  <sheetFormatPr baseColWidth="10" defaultRowHeight="15"/>
  <cols>
    <col min="2" max="2" width="9.7109375" customWidth="1"/>
    <col min="3" max="3" width="39.85546875" customWidth="1"/>
    <col min="4" max="4" width="20.42578125" customWidth="1"/>
    <col min="5" max="5" width="18.85546875" customWidth="1"/>
    <col min="6" max="6" width="21" customWidth="1"/>
    <col min="7" max="7" width="19.5703125" hidden="1" customWidth="1"/>
    <col min="8" max="8" width="21.7109375" hidden="1" customWidth="1"/>
    <col min="9" max="9" width="20" hidden="1" customWidth="1"/>
    <col min="10" max="11" width="18.85546875" hidden="1" customWidth="1"/>
    <col min="12" max="12" width="19" hidden="1" customWidth="1"/>
    <col min="13" max="13" width="18.85546875" hidden="1" customWidth="1"/>
    <col min="14" max="14" width="21" hidden="1" customWidth="1"/>
    <col min="15" max="17" width="18.140625" hidden="1" customWidth="1"/>
    <col min="18" max="18" width="17.28515625" customWidth="1"/>
    <col min="19" max="19" width="18.28515625" customWidth="1"/>
    <col min="20" max="20" width="15.28515625" bestFit="1" customWidth="1"/>
  </cols>
  <sheetData>
    <row r="1" spans="1:19" ht="15.7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ht="15" customHeight="1">
      <c r="A2" s="71" t="s">
        <v>252</v>
      </c>
      <c r="B2" s="71" t="s">
        <v>251</v>
      </c>
      <c r="C2" s="71" t="s">
        <v>87</v>
      </c>
      <c r="D2" s="71" t="s">
        <v>185</v>
      </c>
      <c r="E2" s="71" t="s">
        <v>192</v>
      </c>
      <c r="F2" s="71" t="s">
        <v>193</v>
      </c>
      <c r="G2" s="71" t="s">
        <v>194</v>
      </c>
      <c r="H2" s="71" t="s">
        <v>305</v>
      </c>
      <c r="I2" s="71" t="s">
        <v>306</v>
      </c>
      <c r="J2" s="71" t="s">
        <v>307</v>
      </c>
      <c r="K2" s="71" t="s">
        <v>308</v>
      </c>
      <c r="L2" s="71" t="s">
        <v>312</v>
      </c>
      <c r="M2" s="71" t="s">
        <v>315</v>
      </c>
      <c r="N2" s="71" t="s">
        <v>320</v>
      </c>
      <c r="O2" s="71" t="s">
        <v>323</v>
      </c>
      <c r="P2" s="71" t="s">
        <v>329</v>
      </c>
      <c r="Q2" s="71" t="s">
        <v>333</v>
      </c>
      <c r="R2" s="71" t="s">
        <v>336</v>
      </c>
      <c r="S2" s="71" t="s">
        <v>337</v>
      </c>
    </row>
    <row r="3" spans="1:19" ht="24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1:19">
      <c r="A4" s="16"/>
      <c r="B4" s="14">
        <v>1.1000000000000001</v>
      </c>
      <c r="C4" s="15" t="s">
        <v>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>
      <c r="A5" s="16" t="s">
        <v>253</v>
      </c>
      <c r="B5" s="17" t="s">
        <v>88</v>
      </c>
      <c r="C5" s="18" t="s">
        <v>89</v>
      </c>
      <c r="D5" s="19">
        <v>1300000000</v>
      </c>
      <c r="E5" s="16"/>
      <c r="F5" s="19">
        <f>D5+E5</f>
        <v>1300000000</v>
      </c>
      <c r="G5" s="19"/>
      <c r="H5" s="16"/>
      <c r="I5" s="19">
        <v>217854149</v>
      </c>
      <c r="J5" s="16"/>
      <c r="K5" s="16"/>
      <c r="L5" s="16"/>
      <c r="M5" s="19">
        <v>621443000</v>
      </c>
      <c r="N5" s="19">
        <v>0</v>
      </c>
      <c r="O5" s="19">
        <v>340561751</v>
      </c>
      <c r="P5" s="19">
        <v>104019153.8</v>
      </c>
      <c r="R5" s="19">
        <f>77000000+15412393</f>
        <v>92412393</v>
      </c>
      <c r="S5" s="19">
        <f>G5+H5+I5+J5+K5+L5+M5+N5+O5+P5+Q5+R5</f>
        <v>1376290446.8</v>
      </c>
    </row>
    <row r="6" spans="1:19">
      <c r="A6" s="16"/>
      <c r="B6" s="14">
        <v>1.2</v>
      </c>
      <c r="C6" s="15" t="s">
        <v>3</v>
      </c>
      <c r="D6" s="16"/>
      <c r="E6" s="16"/>
      <c r="F6" s="16"/>
      <c r="G6" s="19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>
      <c r="A7" s="16" t="s">
        <v>254</v>
      </c>
      <c r="B7" s="17" t="s">
        <v>90</v>
      </c>
      <c r="C7" s="18" t="s">
        <v>91</v>
      </c>
      <c r="D7" s="19">
        <v>2517000000</v>
      </c>
      <c r="E7" s="16"/>
      <c r="F7" s="19">
        <f t="shared" ref="F7:F47" si="0">D7+E7</f>
        <v>2517000000</v>
      </c>
      <c r="G7" s="19">
        <f>106598188</f>
        <v>106598188</v>
      </c>
      <c r="H7" s="19">
        <f>93722811</f>
        <v>93722811</v>
      </c>
      <c r="I7" s="19">
        <v>86148339</v>
      </c>
      <c r="J7" s="19">
        <v>97536907</v>
      </c>
      <c r="K7" s="19">
        <f>98211091</f>
        <v>98211091</v>
      </c>
      <c r="L7" s="19">
        <v>90286507</v>
      </c>
      <c r="M7" s="19">
        <f>37197665+49663065+848118+15864112+5144062</f>
        <v>108717022</v>
      </c>
      <c r="N7" s="19">
        <f>103903672+23205848+12469866</f>
        <v>139579386</v>
      </c>
      <c r="O7" s="19">
        <f>93216470+26256489</f>
        <v>119472959</v>
      </c>
      <c r="P7" s="19">
        <v>70899308</v>
      </c>
      <c r="Q7" s="19">
        <f>67816905+18096440+6655979</f>
        <v>92569324</v>
      </c>
      <c r="R7" s="19">
        <f>69067176+18626797+8532119</f>
        <v>96226092</v>
      </c>
      <c r="S7" s="19">
        <f t="shared" ref="S7:S47" si="1">G7+H7+I7+J7+K7+L7+M7+N7+O7+P7+Q7+R7</f>
        <v>1199967934</v>
      </c>
    </row>
    <row r="8" spans="1:19">
      <c r="A8" s="16" t="s">
        <v>255</v>
      </c>
      <c r="B8" s="17" t="s">
        <v>92</v>
      </c>
      <c r="C8" s="18" t="s">
        <v>93</v>
      </c>
      <c r="D8" s="19">
        <v>330000000</v>
      </c>
      <c r="E8" s="16"/>
      <c r="F8" s="19">
        <f t="shared" si="0"/>
        <v>330000000</v>
      </c>
      <c r="G8" s="19">
        <v>42761974</v>
      </c>
      <c r="H8" s="19">
        <v>40873742</v>
      </c>
      <c r="I8" s="19">
        <f>39486014-8367904</f>
        <v>31118110</v>
      </c>
      <c r="J8" s="19">
        <v>41924157</v>
      </c>
      <c r="K8" s="19">
        <v>39561362</v>
      </c>
      <c r="L8" s="19">
        <v>44045202</v>
      </c>
      <c r="M8" s="19">
        <f>13670427+7154616+2044176+6558398+3406960+2214524</f>
        <v>35049101</v>
      </c>
      <c r="N8" s="19">
        <v>39478149</v>
      </c>
      <c r="O8" s="19">
        <f>13755601+8006356+1788654+4769744+7537899+4045765</f>
        <v>39904019</v>
      </c>
      <c r="P8" s="19">
        <v>35773080</v>
      </c>
      <c r="Q8" s="19">
        <v>14821706</v>
      </c>
      <c r="R8" s="19">
        <v>20406670</v>
      </c>
      <c r="S8" s="19">
        <f t="shared" si="1"/>
        <v>425717272</v>
      </c>
    </row>
    <row r="9" spans="1:19">
      <c r="A9" s="16" t="s">
        <v>256</v>
      </c>
      <c r="B9" s="17" t="s">
        <v>94</v>
      </c>
      <c r="C9" s="18" t="s">
        <v>95</v>
      </c>
      <c r="D9" s="19">
        <v>55000000</v>
      </c>
      <c r="E9" s="16"/>
      <c r="F9" s="19">
        <f t="shared" si="0"/>
        <v>55000000</v>
      </c>
      <c r="G9" s="19">
        <f>1693134+1130258</f>
        <v>2823392</v>
      </c>
      <c r="H9" s="19">
        <v>6185808</v>
      </c>
      <c r="I9" s="19">
        <f>2517032+1374624</f>
        <v>3891656</v>
      </c>
      <c r="J9" s="19">
        <v>2038680</v>
      </c>
      <c r="K9" s="19">
        <v>2038680</v>
      </c>
      <c r="L9" s="19">
        <v>2990064</v>
      </c>
      <c r="M9" s="19">
        <v>1461054</v>
      </c>
      <c r="N9" s="19">
        <v>1461054</v>
      </c>
      <c r="O9" s="19">
        <v>2582328</v>
      </c>
      <c r="P9" s="19">
        <v>1087296</v>
      </c>
      <c r="Q9" s="19">
        <v>1529010</v>
      </c>
      <c r="R9" s="19">
        <v>1087296</v>
      </c>
      <c r="S9" s="19">
        <f t="shared" si="1"/>
        <v>29176318</v>
      </c>
    </row>
    <row r="10" spans="1:19">
      <c r="A10" s="16" t="s">
        <v>293</v>
      </c>
      <c r="B10" s="17" t="s">
        <v>96</v>
      </c>
      <c r="C10" s="18" t="s">
        <v>97</v>
      </c>
      <c r="D10" s="19">
        <v>1510000000</v>
      </c>
      <c r="E10" s="16"/>
      <c r="F10" s="19">
        <f t="shared" si="0"/>
        <v>1510000000</v>
      </c>
      <c r="G10" s="19">
        <v>172053707</v>
      </c>
      <c r="H10" s="19">
        <v>173542575</v>
      </c>
      <c r="I10" s="19">
        <v>169942440</v>
      </c>
      <c r="J10" s="19">
        <f>167365154-30201815</f>
        <v>137163339</v>
      </c>
      <c r="K10" s="19">
        <v>158965392</v>
      </c>
      <c r="L10" s="19">
        <v>89120463</v>
      </c>
      <c r="M10" s="19">
        <v>64438508</v>
      </c>
      <c r="N10" s="19">
        <v>79876965</v>
      </c>
      <c r="O10" s="19">
        <v>64759476</v>
      </c>
      <c r="P10" s="19">
        <v>51804567</v>
      </c>
      <c r="Q10" s="19">
        <v>57255444</v>
      </c>
      <c r="R10" s="19">
        <v>76515639</v>
      </c>
      <c r="S10" s="19">
        <f t="shared" si="1"/>
        <v>1295438515</v>
      </c>
    </row>
    <row r="11" spans="1:19">
      <c r="A11" s="16" t="s">
        <v>257</v>
      </c>
      <c r="B11" s="17" t="s">
        <v>98</v>
      </c>
      <c r="C11" s="18" t="s">
        <v>99</v>
      </c>
      <c r="D11" s="19">
        <v>24200000</v>
      </c>
      <c r="E11" s="16"/>
      <c r="F11" s="19">
        <f t="shared" si="0"/>
        <v>24200000</v>
      </c>
      <c r="G11" s="19">
        <v>969083</v>
      </c>
      <c r="H11" s="19">
        <v>1374570</v>
      </c>
      <c r="I11" s="19">
        <v>916380</v>
      </c>
      <c r="J11" s="19">
        <v>1450935</v>
      </c>
      <c r="K11" s="19">
        <v>1206567</v>
      </c>
      <c r="L11" s="19">
        <v>1312510</v>
      </c>
      <c r="M11" s="19">
        <v>1449967</v>
      </c>
      <c r="N11" s="19">
        <v>1114929</v>
      </c>
      <c r="O11" s="19">
        <v>778923</v>
      </c>
      <c r="P11" s="19">
        <v>1145475</v>
      </c>
      <c r="Q11" s="19">
        <v>1267659</v>
      </c>
      <c r="R11" s="19">
        <v>1221840</v>
      </c>
      <c r="S11" s="19">
        <f t="shared" si="1"/>
        <v>14208838</v>
      </c>
    </row>
    <row r="12" spans="1:19">
      <c r="A12" s="16" t="s">
        <v>258</v>
      </c>
      <c r="B12" s="17" t="s">
        <v>100</v>
      </c>
      <c r="C12" s="18" t="s">
        <v>101</v>
      </c>
      <c r="D12" s="19">
        <v>35200000</v>
      </c>
      <c r="E12" s="16"/>
      <c r="F12" s="19">
        <f t="shared" si="0"/>
        <v>35200000</v>
      </c>
      <c r="G12" s="19">
        <v>1172257</v>
      </c>
      <c r="H12" s="19">
        <v>1450935</v>
      </c>
      <c r="I12" s="19">
        <v>1069110</v>
      </c>
      <c r="J12" s="19">
        <v>1756395</v>
      </c>
      <c r="K12" s="19">
        <v>1512027</v>
      </c>
      <c r="L12" s="19">
        <v>1663789</v>
      </c>
      <c r="M12" s="19">
        <v>1801246</v>
      </c>
      <c r="N12" s="19">
        <v>1496754</v>
      </c>
      <c r="O12" s="19">
        <v>1450935</v>
      </c>
      <c r="P12" s="19">
        <v>1557846</v>
      </c>
      <c r="Q12" s="19">
        <v>1710576</v>
      </c>
      <c r="R12" s="19">
        <v>1710576</v>
      </c>
      <c r="S12" s="19">
        <f t="shared" si="1"/>
        <v>18352446</v>
      </c>
    </row>
    <row r="13" spans="1:19">
      <c r="A13" s="16" t="s">
        <v>259</v>
      </c>
      <c r="B13" s="17" t="s">
        <v>102</v>
      </c>
      <c r="C13" s="18" t="s">
        <v>103</v>
      </c>
      <c r="D13" s="19">
        <v>82500000</v>
      </c>
      <c r="E13" s="16"/>
      <c r="F13" s="19">
        <f t="shared" si="0"/>
        <v>82500000</v>
      </c>
      <c r="G13" s="19">
        <v>2785410</v>
      </c>
      <c r="H13" s="19">
        <v>4642510</v>
      </c>
      <c r="I13" s="19">
        <v>4992976</v>
      </c>
      <c r="J13" s="19">
        <v>5969271</v>
      </c>
      <c r="K13" s="19">
        <v>10689096</v>
      </c>
      <c r="L13" s="19">
        <v>10270792</v>
      </c>
      <c r="M13" s="19">
        <v>8940159</v>
      </c>
      <c r="N13" s="19">
        <v>17157596</v>
      </c>
      <c r="O13" s="19">
        <v>11664950</v>
      </c>
      <c r="P13" s="19">
        <v>10993171</v>
      </c>
      <c r="Q13" s="19">
        <v>12506828</v>
      </c>
      <c r="R13" s="19">
        <v>11426614</v>
      </c>
      <c r="S13" s="19">
        <f t="shared" si="1"/>
        <v>112039373</v>
      </c>
    </row>
    <row r="14" spans="1:19">
      <c r="A14" s="16" t="s">
        <v>260</v>
      </c>
      <c r="B14" s="17" t="s">
        <v>104</v>
      </c>
      <c r="C14" s="18" t="s">
        <v>105</v>
      </c>
      <c r="D14" s="19">
        <v>4400000</v>
      </c>
      <c r="E14" s="16"/>
      <c r="F14" s="19">
        <f t="shared" si="0"/>
        <v>4400000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f t="shared" si="1"/>
        <v>0</v>
      </c>
    </row>
    <row r="15" spans="1:19">
      <c r="A15" s="16" t="s">
        <v>261</v>
      </c>
      <c r="B15" s="17" t="s">
        <v>106</v>
      </c>
      <c r="C15" s="18" t="s">
        <v>107</v>
      </c>
      <c r="D15" s="19">
        <v>497000000</v>
      </c>
      <c r="E15" s="16"/>
      <c r="F15" s="19">
        <f t="shared" si="0"/>
        <v>497000000</v>
      </c>
      <c r="G15" s="19">
        <v>8794481</v>
      </c>
      <c r="H15" s="19">
        <v>13620425</v>
      </c>
      <c r="I15" s="19">
        <v>14139732</v>
      </c>
      <c r="J15" s="19">
        <v>16468183</v>
      </c>
      <c r="K15" s="19">
        <v>9768805</v>
      </c>
      <c r="L15" s="19">
        <v>9613255</v>
      </c>
      <c r="M15" s="19">
        <v>14280761</v>
      </c>
      <c r="N15" s="19">
        <v>18121658</v>
      </c>
      <c r="O15" s="19">
        <v>8795314</v>
      </c>
      <c r="P15" s="19">
        <v>8394868</v>
      </c>
      <c r="Q15" s="19">
        <v>8308932</v>
      </c>
      <c r="R15" s="19">
        <v>10421820</v>
      </c>
      <c r="S15" s="19">
        <f t="shared" si="1"/>
        <v>140728234</v>
      </c>
    </row>
    <row r="16" spans="1:19">
      <c r="A16" s="16" t="s">
        <v>262</v>
      </c>
      <c r="B16" s="17" t="s">
        <v>108</v>
      </c>
      <c r="C16" s="18" t="s">
        <v>109</v>
      </c>
      <c r="D16" s="19">
        <v>5500000</v>
      </c>
      <c r="E16" s="16"/>
      <c r="F16" s="19">
        <f t="shared" si="0"/>
        <v>5500000</v>
      </c>
      <c r="G16" s="19">
        <v>279499</v>
      </c>
      <c r="H16" s="19">
        <v>416328</v>
      </c>
      <c r="I16" s="19">
        <v>485716</v>
      </c>
      <c r="J16" s="19">
        <v>589798</v>
      </c>
      <c r="K16" s="19">
        <v>659186</v>
      </c>
      <c r="L16" s="19">
        <v>503063</v>
      </c>
      <c r="M16" s="19">
        <v>676533</v>
      </c>
      <c r="N16" s="19">
        <v>1092861</v>
      </c>
      <c r="O16" s="19">
        <v>763268</v>
      </c>
      <c r="P16" s="19">
        <v>572451</v>
      </c>
      <c r="Q16" s="19">
        <v>555104</v>
      </c>
      <c r="R16" s="19">
        <v>607145</v>
      </c>
      <c r="S16" s="19">
        <f t="shared" si="1"/>
        <v>7200952</v>
      </c>
    </row>
    <row r="17" spans="1:19">
      <c r="A17" s="16" t="s">
        <v>294</v>
      </c>
      <c r="B17" s="17" t="s">
        <v>110</v>
      </c>
      <c r="C17" s="18" t="s">
        <v>111</v>
      </c>
      <c r="D17" s="19">
        <v>967000000</v>
      </c>
      <c r="E17" s="16"/>
      <c r="F17" s="19">
        <f t="shared" si="0"/>
        <v>967000000</v>
      </c>
      <c r="G17" s="19">
        <v>71182929</v>
      </c>
      <c r="H17" s="19">
        <v>69872739</v>
      </c>
      <c r="I17" s="19">
        <v>67539121</v>
      </c>
      <c r="J17" s="19">
        <v>64723191</v>
      </c>
      <c r="K17" s="19">
        <v>61527150</v>
      </c>
      <c r="L17" s="19">
        <v>30324763</v>
      </c>
      <c r="M17" s="19">
        <v>19490103</v>
      </c>
      <c r="N17" s="19">
        <v>23812512</v>
      </c>
      <c r="O17" s="19">
        <v>16686562</v>
      </c>
      <c r="P17" s="19">
        <v>13197976</v>
      </c>
      <c r="Q17" s="19">
        <v>17166559</v>
      </c>
      <c r="R17" s="19">
        <v>30446348</v>
      </c>
      <c r="S17" s="19">
        <f t="shared" si="1"/>
        <v>485969953</v>
      </c>
    </row>
    <row r="18" spans="1:19">
      <c r="A18" s="16" t="s">
        <v>263</v>
      </c>
      <c r="B18" s="17" t="s">
        <v>112</v>
      </c>
      <c r="C18" s="18" t="s">
        <v>113</v>
      </c>
      <c r="D18" s="19">
        <v>88000000</v>
      </c>
      <c r="E18" s="16"/>
      <c r="F18" s="19">
        <f t="shared" si="0"/>
        <v>88000000</v>
      </c>
      <c r="G18" s="19">
        <v>7948785</v>
      </c>
      <c r="H18" s="19">
        <v>11998633</v>
      </c>
      <c r="I18" s="19">
        <v>22287952</v>
      </c>
      <c r="J18" s="19">
        <v>19282929</v>
      </c>
      <c r="K18" s="19">
        <f>18714210+39294</f>
        <v>18753504</v>
      </c>
      <c r="L18" s="19">
        <f>16919645+394776</f>
        <v>17314421</v>
      </c>
      <c r="M18" s="19">
        <v>22870460</v>
      </c>
      <c r="N18" s="19">
        <v>26849259</v>
      </c>
      <c r="O18" s="19">
        <v>18986916</v>
      </c>
      <c r="P18" s="19">
        <v>16564779</v>
      </c>
      <c r="Q18" s="19">
        <v>15381097</v>
      </c>
      <c r="R18" s="19">
        <v>23755322</v>
      </c>
      <c r="S18" s="19">
        <f t="shared" si="1"/>
        <v>221994057</v>
      </c>
    </row>
    <row r="19" spans="1:19">
      <c r="A19" s="16" t="s">
        <v>264</v>
      </c>
      <c r="B19" s="17" t="s">
        <v>114</v>
      </c>
      <c r="C19" s="18" t="s">
        <v>115</v>
      </c>
      <c r="D19" s="19">
        <v>16500000</v>
      </c>
      <c r="E19" s="16"/>
      <c r="F19" s="19">
        <f t="shared" si="0"/>
        <v>16500000</v>
      </c>
      <c r="G19" s="19">
        <v>15726</v>
      </c>
      <c r="H19" s="19">
        <v>33254</v>
      </c>
      <c r="I19" s="19">
        <v>12790</v>
      </c>
      <c r="J19" s="19">
        <v>32905</v>
      </c>
      <c r="K19" s="19">
        <v>28138</v>
      </c>
      <c r="L19" s="19">
        <v>23022</v>
      </c>
      <c r="M19" s="19">
        <v>10232</v>
      </c>
      <c r="N19" s="19">
        <v>40928</v>
      </c>
      <c r="O19" s="19">
        <v>12970</v>
      </c>
      <c r="P19" s="19">
        <v>9064</v>
      </c>
      <c r="Q19" s="19">
        <v>11330</v>
      </c>
      <c r="R19" s="19">
        <v>6798</v>
      </c>
      <c r="S19" s="19">
        <f t="shared" si="1"/>
        <v>237157</v>
      </c>
    </row>
    <row r="20" spans="1:19">
      <c r="A20" s="16" t="s">
        <v>265</v>
      </c>
      <c r="B20" s="17" t="s">
        <v>116</v>
      </c>
      <c r="C20" s="18" t="s">
        <v>117</v>
      </c>
      <c r="D20" s="19">
        <v>48400000</v>
      </c>
      <c r="E20" s="16"/>
      <c r="F20" s="19">
        <f t="shared" si="0"/>
        <v>48400000</v>
      </c>
      <c r="G20" s="19">
        <v>3937131</v>
      </c>
      <c r="H20" s="19">
        <v>7205330</v>
      </c>
      <c r="I20" s="19">
        <f>23022+5787507</f>
        <v>5810529</v>
      </c>
      <c r="J20" s="19">
        <v>7182087</v>
      </c>
      <c r="K20" s="19">
        <f>23022+6810199</f>
        <v>6833221</v>
      </c>
      <c r="L20" s="19">
        <v>11511</v>
      </c>
      <c r="M20" s="19">
        <v>5787507</v>
      </c>
      <c r="N20" s="19">
        <v>8553424</v>
      </c>
      <c r="O20" s="19">
        <f>11511+5996694</f>
        <v>6008205</v>
      </c>
      <c r="P20" s="19">
        <v>6275610</v>
      </c>
      <c r="Q20" s="19">
        <v>4555804</v>
      </c>
      <c r="R20" s="19">
        <v>4857787</v>
      </c>
      <c r="S20" s="19">
        <f t="shared" si="1"/>
        <v>67018146</v>
      </c>
    </row>
    <row r="21" spans="1:19">
      <c r="A21" s="16" t="s">
        <v>266</v>
      </c>
      <c r="B21" s="17" t="s">
        <v>118</v>
      </c>
      <c r="C21" s="18" t="s">
        <v>119</v>
      </c>
      <c r="D21" s="19">
        <v>75000000</v>
      </c>
      <c r="E21" s="16"/>
      <c r="F21" s="19">
        <f t="shared" si="0"/>
        <v>75000000</v>
      </c>
      <c r="G21" s="19">
        <v>4139674</v>
      </c>
      <c r="H21" s="19">
        <v>4596428</v>
      </c>
      <c r="I21" s="19">
        <v>7615664</v>
      </c>
      <c r="J21" s="19">
        <v>7914906</v>
      </c>
      <c r="K21" s="19">
        <v>8828918</v>
      </c>
      <c r="L21" s="19">
        <v>10638685</v>
      </c>
      <c r="M21" s="19">
        <v>8433814</v>
      </c>
      <c r="N21" s="19">
        <v>12774533</v>
      </c>
      <c r="O21" s="19">
        <v>9519153</v>
      </c>
      <c r="P21" s="19">
        <v>8009673</v>
      </c>
      <c r="Q21" s="19">
        <f>5296359+974745+32490+308655+1689636+97470+183148+21806428+324915+43322</f>
        <v>30757168</v>
      </c>
      <c r="R21" s="19">
        <v>8671306</v>
      </c>
      <c r="S21" s="19">
        <f t="shared" si="1"/>
        <v>121899922</v>
      </c>
    </row>
    <row r="22" spans="1:19">
      <c r="A22" s="16" t="s">
        <v>267</v>
      </c>
      <c r="B22" s="17" t="s">
        <v>120</v>
      </c>
      <c r="C22" s="18" t="s">
        <v>121</v>
      </c>
      <c r="D22" s="19">
        <v>3500000</v>
      </c>
      <c r="E22" s="16"/>
      <c r="F22" s="19">
        <f t="shared" si="0"/>
        <v>3500000</v>
      </c>
      <c r="G22" s="19">
        <v>294961</v>
      </c>
      <c r="H22" s="19">
        <v>484565</v>
      </c>
      <c r="I22" s="19">
        <v>470392</v>
      </c>
      <c r="J22" s="19">
        <v>54973</v>
      </c>
      <c r="K22" s="19">
        <v>148677</v>
      </c>
      <c r="L22" s="19">
        <v>54973</v>
      </c>
      <c r="M22" s="19">
        <v>109945</v>
      </c>
      <c r="N22" s="19">
        <v>350567</v>
      </c>
      <c r="O22" s="19">
        <v>195119</v>
      </c>
      <c r="P22" s="19">
        <v>106576</v>
      </c>
      <c r="Q22" s="19">
        <v>53288</v>
      </c>
      <c r="R22" s="19">
        <v>53288</v>
      </c>
      <c r="S22" s="19">
        <f t="shared" si="1"/>
        <v>2377324</v>
      </c>
    </row>
    <row r="23" spans="1:19">
      <c r="A23" s="16" t="s">
        <v>268</v>
      </c>
      <c r="B23" s="17" t="s">
        <v>122</v>
      </c>
      <c r="C23" s="18" t="s">
        <v>123</v>
      </c>
      <c r="D23" s="19">
        <v>24200000</v>
      </c>
      <c r="E23" s="16"/>
      <c r="F23" s="19">
        <f t="shared" si="0"/>
        <v>24200000</v>
      </c>
      <c r="G23" s="19">
        <f>4314919+2339551</f>
        <v>6654470</v>
      </c>
      <c r="H23" s="19">
        <f>5085115+3496282</f>
        <v>8581397</v>
      </c>
      <c r="I23" s="19">
        <f>9505612+8057278</f>
        <v>17562890</v>
      </c>
      <c r="J23" s="19">
        <v>4463228</v>
      </c>
      <c r="K23" s="19">
        <f>4322359+3868957</f>
        <v>8191316</v>
      </c>
      <c r="L23" s="19">
        <f>4763009+5322706</f>
        <v>10085715</v>
      </c>
      <c r="M23" s="19">
        <f>9719247+8025663</f>
        <v>17744910</v>
      </c>
      <c r="N23" s="19">
        <f>12513981+8006774</f>
        <v>20520755</v>
      </c>
      <c r="O23" s="19">
        <f>4502870+4113137</f>
        <v>8616007</v>
      </c>
      <c r="P23" s="19">
        <f>3765276+3642828</f>
        <v>7408104</v>
      </c>
      <c r="Q23" s="19">
        <f>3612216+3428544</f>
        <v>7040760</v>
      </c>
      <c r="R23" s="19">
        <f>4408128+4224456</f>
        <v>8632584</v>
      </c>
      <c r="S23" s="19">
        <f t="shared" si="1"/>
        <v>125502136</v>
      </c>
    </row>
    <row r="24" spans="1:19">
      <c r="A24" s="16" t="s">
        <v>269</v>
      </c>
      <c r="B24" s="17" t="s">
        <v>124</v>
      </c>
      <c r="C24" s="18" t="s">
        <v>125</v>
      </c>
      <c r="D24" s="19">
        <v>35200000</v>
      </c>
      <c r="E24" s="16"/>
      <c r="F24" s="19">
        <f t="shared" si="0"/>
        <v>35200000</v>
      </c>
      <c r="G24" s="19">
        <v>1130258</v>
      </c>
      <c r="H24" s="19">
        <v>985622</v>
      </c>
      <c r="I24" s="19">
        <v>4174784</v>
      </c>
      <c r="J24" s="19">
        <v>4429344</v>
      </c>
      <c r="K24" s="19">
        <v>4072960</v>
      </c>
      <c r="L24" s="19">
        <v>3538384</v>
      </c>
      <c r="M24" s="19">
        <v>3360192</v>
      </c>
      <c r="N24" s="19">
        <v>4963920</v>
      </c>
      <c r="O24" s="19">
        <v>7153136</v>
      </c>
      <c r="P24" s="19">
        <v>5523952</v>
      </c>
      <c r="Q24" s="19">
        <v>6669472</v>
      </c>
      <c r="R24" s="19">
        <v>5836640</v>
      </c>
      <c r="S24" s="19">
        <f t="shared" si="1"/>
        <v>51838664</v>
      </c>
    </row>
    <row r="25" spans="1:19">
      <c r="A25" s="16" t="s">
        <v>270</v>
      </c>
      <c r="B25" s="17" t="s">
        <v>126</v>
      </c>
      <c r="C25" s="18" t="s">
        <v>127</v>
      </c>
      <c r="D25" s="19">
        <v>9900000</v>
      </c>
      <c r="E25" s="16"/>
      <c r="F25" s="19">
        <f t="shared" si="0"/>
        <v>9900000</v>
      </c>
      <c r="G25" s="19">
        <v>336406</v>
      </c>
      <c r="H25" s="19">
        <v>569490</v>
      </c>
      <c r="I25" s="19">
        <v>1955072</v>
      </c>
      <c r="J25" s="19">
        <v>645968</v>
      </c>
      <c r="K25" s="19">
        <v>1005383</v>
      </c>
      <c r="L25" s="19">
        <v>804854</v>
      </c>
      <c r="M25" s="19">
        <v>2817996</v>
      </c>
      <c r="N25" s="19">
        <v>2734656</v>
      </c>
      <c r="O25" s="19">
        <f>1139535+100210</f>
        <v>1239745</v>
      </c>
      <c r="P25" s="19">
        <v>642852</v>
      </c>
      <c r="Q25" s="19">
        <v>1132644</v>
      </c>
      <c r="R25" s="19">
        <f>153060+826524</f>
        <v>979584</v>
      </c>
      <c r="S25" s="19">
        <f t="shared" si="1"/>
        <v>14864650</v>
      </c>
    </row>
    <row r="26" spans="1:19">
      <c r="A26" s="16" t="s">
        <v>271</v>
      </c>
      <c r="B26" s="17" t="s">
        <v>128</v>
      </c>
      <c r="C26" s="18" t="s">
        <v>129</v>
      </c>
      <c r="D26" s="19">
        <v>1000000</v>
      </c>
      <c r="E26" s="16"/>
      <c r="F26" s="19">
        <f t="shared" si="0"/>
        <v>1000000</v>
      </c>
      <c r="G26" s="19">
        <v>89199</v>
      </c>
      <c r="H26" s="19">
        <v>212348</v>
      </c>
      <c r="I26" s="19">
        <v>197215</v>
      </c>
      <c r="J26" s="19">
        <v>79333</v>
      </c>
      <c r="K26" s="19">
        <v>304854</v>
      </c>
      <c r="L26" s="19">
        <f>172255+79814</f>
        <v>252069</v>
      </c>
      <c r="M26" s="19">
        <f>166602+56657</f>
        <v>223259</v>
      </c>
      <c r="N26" s="19">
        <v>148494</v>
      </c>
      <c r="O26" s="19">
        <v>136783</v>
      </c>
      <c r="P26" s="19">
        <v>159864</v>
      </c>
      <c r="Q26" s="19">
        <v>106576</v>
      </c>
      <c r="R26" s="19">
        <v>159864</v>
      </c>
      <c r="S26" s="19">
        <f t="shared" si="1"/>
        <v>2069858</v>
      </c>
    </row>
    <row r="27" spans="1:19">
      <c r="A27" s="16" t="s">
        <v>272</v>
      </c>
      <c r="B27" s="17" t="s">
        <v>130</v>
      </c>
      <c r="C27" s="18" t="s">
        <v>131</v>
      </c>
      <c r="D27" s="19">
        <v>5500000</v>
      </c>
      <c r="E27" s="16"/>
      <c r="F27" s="19">
        <f t="shared" si="0"/>
        <v>5500000</v>
      </c>
      <c r="G27" s="19">
        <v>400515</v>
      </c>
      <c r="H27" s="19">
        <v>560646</v>
      </c>
      <c r="I27" s="19">
        <v>467205</v>
      </c>
      <c r="J27" s="19">
        <v>622940</v>
      </c>
      <c r="K27" s="19">
        <v>622940</v>
      </c>
      <c r="L27" s="19">
        <v>249176</v>
      </c>
      <c r="M27" s="19">
        <v>654087</v>
      </c>
      <c r="N27" s="19">
        <v>712536</v>
      </c>
      <c r="O27" s="19">
        <v>695877</v>
      </c>
      <c r="P27" s="19">
        <v>638894</v>
      </c>
      <c r="Q27" s="19">
        <v>472226</v>
      </c>
      <c r="R27" s="19">
        <v>777784</v>
      </c>
      <c r="S27" s="19">
        <f t="shared" si="1"/>
        <v>6874826</v>
      </c>
    </row>
    <row r="28" spans="1:19">
      <c r="A28" s="16" t="s">
        <v>273</v>
      </c>
      <c r="B28" s="17" t="s">
        <v>132</v>
      </c>
      <c r="C28" s="18" t="s">
        <v>133</v>
      </c>
      <c r="D28" s="19">
        <v>220000</v>
      </c>
      <c r="E28" s="16"/>
      <c r="F28" s="19">
        <f t="shared" si="0"/>
        <v>220000</v>
      </c>
      <c r="G28" s="19">
        <v>39290</v>
      </c>
      <c r="H28" s="19">
        <v>113314</v>
      </c>
      <c r="I28" s="19">
        <v>56657</v>
      </c>
      <c r="J28" s="19">
        <v>35524</v>
      </c>
      <c r="K28" s="19">
        <f>56657+56657</f>
        <v>113314</v>
      </c>
      <c r="L28" s="19">
        <v>54973</v>
      </c>
      <c r="M28" s="19">
        <v>56657</v>
      </c>
      <c r="N28" s="19">
        <v>0</v>
      </c>
      <c r="O28" s="19">
        <v>58174</v>
      </c>
      <c r="P28" s="19">
        <v>53288</v>
      </c>
      <c r="Q28" s="19">
        <v>106576</v>
      </c>
      <c r="R28" s="19">
        <v>53288</v>
      </c>
      <c r="S28" s="19">
        <f t="shared" si="1"/>
        <v>741055</v>
      </c>
    </row>
    <row r="29" spans="1:19">
      <c r="A29" s="16" t="s">
        <v>274</v>
      </c>
      <c r="B29" s="17" t="s">
        <v>134</v>
      </c>
      <c r="C29" s="18" t="s">
        <v>135</v>
      </c>
      <c r="D29" s="19">
        <v>3300000</v>
      </c>
      <c r="E29" s="16"/>
      <c r="F29" s="19">
        <f t="shared" si="0"/>
        <v>3300000</v>
      </c>
      <c r="G29" s="19">
        <v>373541</v>
      </c>
      <c r="H29" s="19">
        <v>407834</v>
      </c>
      <c r="I29" s="19">
        <v>606382</v>
      </c>
      <c r="J29" s="19">
        <v>368621</v>
      </c>
      <c r="K29" s="19">
        <v>254832</v>
      </c>
      <c r="L29" s="19">
        <v>268561</v>
      </c>
      <c r="M29" s="19">
        <v>491870</v>
      </c>
      <c r="N29" s="19">
        <v>1044153</v>
      </c>
      <c r="O29" s="19">
        <v>539110</v>
      </c>
      <c r="P29" s="19">
        <v>395692</v>
      </c>
      <c r="Q29" s="19">
        <v>586168</v>
      </c>
      <c r="R29" s="19">
        <v>479592</v>
      </c>
      <c r="S29" s="19">
        <f t="shared" si="1"/>
        <v>5816356</v>
      </c>
    </row>
    <row r="30" spans="1:19">
      <c r="A30" s="16" t="s">
        <v>275</v>
      </c>
      <c r="B30" s="17" t="s">
        <v>136</v>
      </c>
      <c r="C30" s="18" t="s">
        <v>137</v>
      </c>
      <c r="D30" s="19">
        <v>22000000</v>
      </c>
      <c r="E30" s="16"/>
      <c r="F30" s="19">
        <f t="shared" si="0"/>
        <v>22000000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/>
      <c r="S30" s="19">
        <f t="shared" si="1"/>
        <v>0</v>
      </c>
    </row>
    <row r="31" spans="1:19">
      <c r="A31" s="16" t="s">
        <v>291</v>
      </c>
      <c r="B31" s="17" t="s">
        <v>138</v>
      </c>
      <c r="C31" s="18" t="s">
        <v>139</v>
      </c>
      <c r="D31" s="19">
        <v>8580000</v>
      </c>
      <c r="E31" s="16"/>
      <c r="F31" s="19">
        <f t="shared" si="0"/>
        <v>8580000</v>
      </c>
      <c r="G31" s="19">
        <v>79760</v>
      </c>
      <c r="H31" s="19">
        <v>111811</v>
      </c>
      <c r="I31" s="19">
        <v>250870</v>
      </c>
      <c r="J31" s="19">
        <v>283078</v>
      </c>
      <c r="K31" s="19">
        <v>235559</v>
      </c>
      <c r="L31" s="19">
        <v>280120</v>
      </c>
      <c r="M31" s="19">
        <v>234181</v>
      </c>
      <c r="N31" s="19">
        <v>300300</v>
      </c>
      <c r="O31" s="19">
        <v>361687</v>
      </c>
      <c r="P31" s="19">
        <v>176308</v>
      </c>
      <c r="Q31" s="19">
        <v>185379</v>
      </c>
      <c r="R31" s="19">
        <v>1133812</v>
      </c>
      <c r="S31" s="19">
        <f t="shared" si="1"/>
        <v>3632865</v>
      </c>
    </row>
    <row r="32" spans="1:19">
      <c r="A32" s="16" t="s">
        <v>276</v>
      </c>
      <c r="B32" s="17" t="s">
        <v>140</v>
      </c>
      <c r="C32" s="18" t="s">
        <v>141</v>
      </c>
      <c r="D32" s="19">
        <v>100000</v>
      </c>
      <c r="E32" s="16"/>
      <c r="F32" s="19">
        <f t="shared" si="0"/>
        <v>100000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31471</v>
      </c>
      <c r="O32" s="19">
        <v>0</v>
      </c>
      <c r="P32" s="19">
        <v>30046</v>
      </c>
      <c r="Q32" s="19">
        <v>0</v>
      </c>
      <c r="R32" s="19">
        <v>0</v>
      </c>
      <c r="S32" s="19">
        <f t="shared" si="1"/>
        <v>61517</v>
      </c>
    </row>
    <row r="33" spans="1:19">
      <c r="A33" s="16" t="s">
        <v>277</v>
      </c>
      <c r="B33" s="17" t="s">
        <v>142</v>
      </c>
      <c r="C33" s="18" t="s">
        <v>143</v>
      </c>
      <c r="D33" s="19">
        <v>3300000</v>
      </c>
      <c r="E33" s="16"/>
      <c r="F33" s="19">
        <f t="shared" si="0"/>
        <v>3300000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309440</v>
      </c>
      <c r="R33" s="19">
        <v>0</v>
      </c>
      <c r="S33" s="19">
        <f t="shared" si="1"/>
        <v>309440</v>
      </c>
    </row>
    <row r="34" spans="1:19">
      <c r="A34" s="16" t="s">
        <v>278</v>
      </c>
      <c r="B34" s="17" t="s">
        <v>144</v>
      </c>
      <c r="C34" s="18" t="s">
        <v>145</v>
      </c>
      <c r="D34" s="19">
        <v>2200000</v>
      </c>
      <c r="E34" s="16"/>
      <c r="F34" s="19">
        <f t="shared" si="0"/>
        <v>2200000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/>
      <c r="R34" s="19">
        <v>0</v>
      </c>
      <c r="S34" s="19">
        <f t="shared" si="1"/>
        <v>0</v>
      </c>
    </row>
    <row r="35" spans="1:19">
      <c r="A35" s="16" t="s">
        <v>279</v>
      </c>
      <c r="B35" s="17" t="s">
        <v>146</v>
      </c>
      <c r="C35" s="18" t="s">
        <v>147</v>
      </c>
      <c r="D35" s="19">
        <v>100000000</v>
      </c>
      <c r="E35" s="16"/>
      <c r="F35" s="19">
        <f t="shared" si="0"/>
        <v>100000000</v>
      </c>
      <c r="G35" s="19">
        <v>3759308</v>
      </c>
      <c r="H35" s="19">
        <v>8306755</v>
      </c>
      <c r="I35" s="19">
        <v>3911770</v>
      </c>
      <c r="J35" s="19">
        <v>488308</v>
      </c>
      <c r="K35" s="19">
        <v>3053358</v>
      </c>
      <c r="L35" s="19">
        <v>14480319</v>
      </c>
      <c r="M35" s="19">
        <v>5834018</v>
      </c>
      <c r="N35" s="19">
        <v>1022879</v>
      </c>
      <c r="O35" s="19">
        <v>560249</v>
      </c>
      <c r="P35" s="19">
        <v>71941</v>
      </c>
      <c r="Q35" s="19">
        <v>13016867</v>
      </c>
      <c r="R35" s="19">
        <v>6860499</v>
      </c>
      <c r="S35" s="19">
        <f t="shared" si="1"/>
        <v>61366271</v>
      </c>
    </row>
    <row r="36" spans="1:19">
      <c r="A36" s="16" t="s">
        <v>280</v>
      </c>
      <c r="B36" s="17" t="s">
        <v>148</v>
      </c>
      <c r="C36" s="18" t="s">
        <v>149</v>
      </c>
      <c r="D36" s="19">
        <v>25000000</v>
      </c>
      <c r="E36" s="16"/>
      <c r="F36" s="19">
        <f t="shared" si="0"/>
        <v>25000000</v>
      </c>
      <c r="G36" s="19">
        <v>1580077</v>
      </c>
      <c r="H36" s="19">
        <v>2241270</v>
      </c>
      <c r="I36" s="19">
        <v>1494180</v>
      </c>
      <c r="J36" s="19">
        <v>2340882</v>
      </c>
      <c r="K36" s="19">
        <v>1967337</v>
      </c>
      <c r="L36" s="19">
        <v>2140079</v>
      </c>
      <c r="M36" s="19">
        <v>2364206</v>
      </c>
      <c r="N36" s="19">
        <v>1817919</v>
      </c>
      <c r="O36" s="19">
        <v>1294956</v>
      </c>
      <c r="P36" s="19">
        <v>1867725</v>
      </c>
      <c r="Q36" s="19">
        <v>2066949</v>
      </c>
      <c r="R36" s="19">
        <v>1992240</v>
      </c>
      <c r="S36" s="19">
        <f t="shared" si="1"/>
        <v>23167820</v>
      </c>
    </row>
    <row r="37" spans="1:19">
      <c r="A37" s="16" t="s">
        <v>281</v>
      </c>
      <c r="B37" s="17" t="s">
        <v>150</v>
      </c>
      <c r="C37" s="18" t="s">
        <v>151</v>
      </c>
      <c r="D37" s="19">
        <v>16500000</v>
      </c>
      <c r="E37" s="16"/>
      <c r="F37" s="19">
        <f t="shared" si="0"/>
        <v>16500000</v>
      </c>
      <c r="G37" s="19">
        <v>1064931</v>
      </c>
      <c r="H37" s="19">
        <f>1632862+1368879</f>
        <v>3001741</v>
      </c>
      <c r="I37" s="19">
        <v>2309384</v>
      </c>
      <c r="J37" s="19">
        <v>2681294</v>
      </c>
      <c r="K37" s="19">
        <v>3070914</v>
      </c>
      <c r="L37" s="19">
        <v>2302300</v>
      </c>
      <c r="M37" s="19">
        <f>3761604+8132</f>
        <v>3769736</v>
      </c>
      <c r="N37" s="19">
        <v>7108794</v>
      </c>
      <c r="O37" s="19">
        <f>3364900+10593</f>
        <v>3375493</v>
      </c>
      <c r="P37" s="19">
        <v>2536072</v>
      </c>
      <c r="Q37" s="19">
        <v>2429812</v>
      </c>
      <c r="R37" s="19">
        <v>2847768</v>
      </c>
      <c r="S37" s="19">
        <f t="shared" si="1"/>
        <v>36498239</v>
      </c>
    </row>
    <row r="38" spans="1:19">
      <c r="A38" s="16" t="s">
        <v>282</v>
      </c>
      <c r="B38" s="17" t="s">
        <v>152</v>
      </c>
      <c r="C38" s="18" t="s">
        <v>153</v>
      </c>
      <c r="D38" s="19">
        <v>98000000</v>
      </c>
      <c r="E38" s="16"/>
      <c r="F38" s="19">
        <f t="shared" si="0"/>
        <v>98000000</v>
      </c>
      <c r="G38" s="19">
        <v>50996287</v>
      </c>
      <c r="H38" s="19">
        <v>45933332</v>
      </c>
      <c r="I38" s="19">
        <v>43402166</v>
      </c>
      <c r="J38" s="19">
        <v>46660857</v>
      </c>
      <c r="K38" s="19">
        <v>48039629</v>
      </c>
      <c r="L38" s="19">
        <v>20527467</v>
      </c>
      <c r="M38" s="19">
        <v>13081311</v>
      </c>
      <c r="N38" s="19">
        <v>5806046</v>
      </c>
      <c r="O38" s="19">
        <v>5167466</v>
      </c>
      <c r="P38" s="19">
        <v>4064034</v>
      </c>
      <c r="Q38" s="19">
        <v>3275767</v>
      </c>
      <c r="R38" s="19">
        <v>2676760</v>
      </c>
      <c r="S38" s="19">
        <f t="shared" si="1"/>
        <v>289631122</v>
      </c>
    </row>
    <row r="39" spans="1:19">
      <c r="A39" s="16" t="s">
        <v>283</v>
      </c>
      <c r="B39" s="17" t="s">
        <v>154</v>
      </c>
      <c r="C39" s="18" t="s">
        <v>155</v>
      </c>
      <c r="D39" s="19">
        <v>600000</v>
      </c>
      <c r="E39" s="16"/>
      <c r="F39" s="19">
        <f t="shared" si="0"/>
        <v>600000</v>
      </c>
      <c r="G39" s="19">
        <v>21562</v>
      </c>
      <c r="H39" s="19">
        <v>64686</v>
      </c>
      <c r="I39" s="19">
        <v>64686</v>
      </c>
      <c r="J39" s="19">
        <v>34533</v>
      </c>
      <c r="K39" s="19">
        <v>32343</v>
      </c>
      <c r="L39" s="19">
        <v>21562</v>
      </c>
      <c r="M39" s="19">
        <v>43124</v>
      </c>
      <c r="N39" s="19">
        <v>75467</v>
      </c>
      <c r="O39" s="19">
        <v>75467</v>
      </c>
      <c r="P39" s="19">
        <v>10781</v>
      </c>
      <c r="Q39" s="19">
        <v>86248</v>
      </c>
      <c r="R39" s="19">
        <v>53905</v>
      </c>
      <c r="S39" s="19">
        <f t="shared" si="1"/>
        <v>584364</v>
      </c>
    </row>
    <row r="40" spans="1:19">
      <c r="A40" s="16" t="s">
        <v>284</v>
      </c>
      <c r="B40" s="17" t="s">
        <v>156</v>
      </c>
      <c r="C40" s="18" t="s">
        <v>157</v>
      </c>
      <c r="D40" s="19">
        <v>2200000</v>
      </c>
      <c r="E40" s="16"/>
      <c r="F40" s="19">
        <f t="shared" si="0"/>
        <v>2200000</v>
      </c>
      <c r="G40" s="19">
        <v>293928</v>
      </c>
      <c r="H40" s="19">
        <v>309640</v>
      </c>
      <c r="I40" s="19">
        <v>247712</v>
      </c>
      <c r="J40" s="19">
        <v>30988</v>
      </c>
      <c r="K40" s="19">
        <v>30988</v>
      </c>
      <c r="L40" s="19">
        <v>42568</v>
      </c>
      <c r="M40" s="19">
        <v>15494</v>
      </c>
      <c r="N40" s="19">
        <v>340604</v>
      </c>
      <c r="O40" s="19">
        <v>77470</v>
      </c>
      <c r="P40" s="19">
        <v>154820</v>
      </c>
      <c r="Q40" s="19">
        <v>216748</v>
      </c>
      <c r="R40" s="19">
        <v>15494</v>
      </c>
      <c r="S40" s="19">
        <f t="shared" si="1"/>
        <v>1776454</v>
      </c>
    </row>
    <row r="41" spans="1:19">
      <c r="A41" s="16" t="s">
        <v>285</v>
      </c>
      <c r="B41" s="17" t="s">
        <v>158</v>
      </c>
      <c r="C41" s="18" t="s">
        <v>159</v>
      </c>
      <c r="D41" s="19">
        <v>100000</v>
      </c>
      <c r="E41" s="16"/>
      <c r="F41" s="19">
        <f t="shared" si="0"/>
        <v>100000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f t="shared" si="1"/>
        <v>0</v>
      </c>
    </row>
    <row r="42" spans="1:19">
      <c r="A42" s="16" t="s">
        <v>286</v>
      </c>
      <c r="B42" s="17" t="s">
        <v>160</v>
      </c>
      <c r="C42" s="18" t="s">
        <v>161</v>
      </c>
      <c r="D42" s="19">
        <v>2200000</v>
      </c>
      <c r="E42" s="16"/>
      <c r="F42" s="19">
        <f t="shared" si="0"/>
        <v>2200000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f t="shared" si="1"/>
        <v>0</v>
      </c>
    </row>
    <row r="43" spans="1:19">
      <c r="A43" s="16" t="s">
        <v>287</v>
      </c>
      <c r="B43" s="17" t="s">
        <v>162</v>
      </c>
      <c r="C43" s="18" t="s">
        <v>163</v>
      </c>
      <c r="D43" s="19">
        <v>14300000</v>
      </c>
      <c r="E43" s="16"/>
      <c r="F43" s="19">
        <f t="shared" si="0"/>
        <v>14300000</v>
      </c>
      <c r="G43" s="19">
        <v>353385</v>
      </c>
      <c r="H43" s="19">
        <v>871343</v>
      </c>
      <c r="I43" s="19">
        <v>507901</v>
      </c>
      <c r="J43" s="19">
        <v>687184</v>
      </c>
      <c r="K43" s="19">
        <v>979748</v>
      </c>
      <c r="L43" s="19">
        <v>465968</v>
      </c>
      <c r="M43" s="19">
        <v>266519</v>
      </c>
      <c r="N43" s="19">
        <v>497176</v>
      </c>
      <c r="O43" s="19">
        <v>578370</v>
      </c>
      <c r="P43" s="19">
        <v>808378</v>
      </c>
      <c r="Q43" s="19">
        <v>1913245</v>
      </c>
      <c r="R43" s="19">
        <v>3646769</v>
      </c>
      <c r="S43" s="19">
        <f t="shared" si="1"/>
        <v>11575986</v>
      </c>
    </row>
    <row r="44" spans="1:19">
      <c r="A44" s="16" t="s">
        <v>288</v>
      </c>
      <c r="B44" s="17" t="s">
        <v>164</v>
      </c>
      <c r="C44" s="18" t="s">
        <v>165</v>
      </c>
      <c r="D44" s="19">
        <v>2200000</v>
      </c>
      <c r="E44" s="16"/>
      <c r="F44" s="19">
        <f t="shared" si="0"/>
        <v>2200000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/>
      <c r="S44" s="19">
        <f t="shared" si="1"/>
        <v>0</v>
      </c>
    </row>
    <row r="45" spans="1:19">
      <c r="A45" s="16" t="s">
        <v>289</v>
      </c>
      <c r="B45" s="17" t="s">
        <v>166</v>
      </c>
      <c r="C45" s="18" t="s">
        <v>167</v>
      </c>
      <c r="D45" s="19">
        <v>2200000</v>
      </c>
      <c r="E45" s="16"/>
      <c r="F45" s="19">
        <f t="shared" si="0"/>
        <v>2200000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/>
      <c r="S45" s="19">
        <f t="shared" si="1"/>
        <v>0</v>
      </c>
    </row>
    <row r="46" spans="1:19">
      <c r="A46" s="16" t="s">
        <v>290</v>
      </c>
      <c r="B46" s="17" t="s">
        <v>168</v>
      </c>
      <c r="C46" s="18" t="s">
        <v>169</v>
      </c>
      <c r="D46" s="19">
        <v>16500000</v>
      </c>
      <c r="E46" s="16"/>
      <c r="F46" s="19">
        <f t="shared" si="0"/>
        <v>16500000</v>
      </c>
      <c r="G46" s="19">
        <v>1214865</v>
      </c>
      <c r="H46" s="19">
        <v>1723230</v>
      </c>
      <c r="I46" s="19">
        <v>1148820</v>
      </c>
      <c r="J46" s="19">
        <v>1780671</v>
      </c>
      <c r="K46" s="19">
        <v>1512613</v>
      </c>
      <c r="L46" s="19">
        <v>1645428</v>
      </c>
      <c r="M46" s="19">
        <v>1817751</v>
      </c>
      <c r="N46" s="19">
        <v>1397731</v>
      </c>
      <c r="O46" s="19">
        <f>2324+1857840</f>
        <v>1860164</v>
      </c>
      <c r="P46" s="19">
        <v>1436025</v>
      </c>
      <c r="Q46" s="19">
        <v>1589201</v>
      </c>
      <c r="R46" s="19">
        <v>1531760</v>
      </c>
      <c r="S46" s="19">
        <f t="shared" si="1"/>
        <v>18658259</v>
      </c>
    </row>
    <row r="47" spans="1:19">
      <c r="A47" s="16" t="s">
        <v>292</v>
      </c>
      <c r="B47" s="17" t="s">
        <v>170</v>
      </c>
      <c r="C47" s="18" t="s">
        <v>171</v>
      </c>
      <c r="D47" s="19">
        <v>15500000</v>
      </c>
      <c r="E47" s="29"/>
      <c r="F47" s="19">
        <f t="shared" si="0"/>
        <v>15500000</v>
      </c>
      <c r="G47" s="19">
        <v>385749</v>
      </c>
      <c r="H47" s="19">
        <v>1687475</v>
      </c>
      <c r="I47" s="19">
        <v>125468</v>
      </c>
      <c r="J47" s="19">
        <v>986574</v>
      </c>
      <c r="K47" s="19">
        <v>1352477</v>
      </c>
      <c r="L47" s="19">
        <v>865792</v>
      </c>
      <c r="M47" s="19">
        <v>635011</v>
      </c>
      <c r="N47" s="19">
        <v>987712</v>
      </c>
      <c r="O47" s="19">
        <v>384635</v>
      </c>
      <c r="P47" s="19">
        <v>264872</v>
      </c>
      <c r="Q47" s="19">
        <v>341874</v>
      </c>
      <c r="R47" s="19">
        <v>578942</v>
      </c>
      <c r="S47" s="19">
        <f t="shared" si="1"/>
        <v>8596581</v>
      </c>
    </row>
    <row r="48" spans="1:19">
      <c r="A48" s="16"/>
      <c r="B48" s="20"/>
      <c r="C48" s="21" t="s">
        <v>172</v>
      </c>
      <c r="D48" s="22">
        <v>7970000000</v>
      </c>
      <c r="E48" s="22"/>
      <c r="F48" s="22">
        <f t="shared" ref="F48:S48" si="2">SUM(F5:F47)</f>
        <v>7970000000</v>
      </c>
      <c r="G48" s="22">
        <f t="shared" si="2"/>
        <v>494530728</v>
      </c>
      <c r="H48" s="22">
        <f t="shared" si="2"/>
        <v>505702587</v>
      </c>
      <c r="I48" s="22">
        <f t="shared" si="2"/>
        <v>712778218</v>
      </c>
      <c r="J48" s="22">
        <f t="shared" si="2"/>
        <v>470707983</v>
      </c>
      <c r="K48" s="22">
        <f t="shared" si="2"/>
        <v>493572379</v>
      </c>
      <c r="L48" s="22">
        <f t="shared" si="2"/>
        <v>366198355</v>
      </c>
      <c r="M48" s="22">
        <f t="shared" si="2"/>
        <v>968369734</v>
      </c>
      <c r="N48" s="22">
        <f t="shared" si="2"/>
        <v>421271188</v>
      </c>
      <c r="O48" s="22">
        <f t="shared" si="2"/>
        <v>674317637</v>
      </c>
      <c r="P48" s="22">
        <f t="shared" si="2"/>
        <v>356654541.80000001</v>
      </c>
      <c r="Q48" s="22">
        <f t="shared" si="2"/>
        <v>299995781</v>
      </c>
      <c r="R48" s="22">
        <f>SUM(R5:R47)</f>
        <v>418084219</v>
      </c>
      <c r="S48" s="22">
        <f t="shared" si="2"/>
        <v>6182183350.8000002</v>
      </c>
    </row>
    <row r="49" spans="1:20">
      <c r="A49" s="16"/>
      <c r="B49" s="14">
        <v>2</v>
      </c>
      <c r="C49" s="30" t="s">
        <v>173</v>
      </c>
      <c r="D49" s="16"/>
      <c r="E49" s="16"/>
      <c r="F49" s="16"/>
      <c r="G49" s="19"/>
      <c r="H49" s="16"/>
      <c r="I49" s="16"/>
      <c r="J49" s="16"/>
      <c r="K49" s="16"/>
      <c r="L49" s="19"/>
      <c r="M49" s="52"/>
      <c r="N49" s="52"/>
      <c r="O49" s="52"/>
      <c r="P49" s="52"/>
      <c r="Q49" s="52"/>
      <c r="R49" s="52"/>
    </row>
    <row r="50" spans="1:20">
      <c r="A50" s="16"/>
      <c r="B50" s="14">
        <v>2.1</v>
      </c>
      <c r="C50" s="15" t="s">
        <v>5</v>
      </c>
      <c r="D50" s="19">
        <v>0</v>
      </c>
      <c r="E50" s="16"/>
      <c r="F50" s="19">
        <f>D50+E50</f>
        <v>0</v>
      </c>
      <c r="G50" s="19"/>
      <c r="H50" s="16"/>
      <c r="I50" s="16"/>
      <c r="J50" s="16"/>
      <c r="K50" s="16"/>
      <c r="L50" s="19"/>
      <c r="M50" s="19"/>
      <c r="N50" s="19"/>
      <c r="O50" s="19"/>
      <c r="P50" s="19"/>
      <c r="Q50" s="19"/>
      <c r="R50" s="19"/>
      <c r="S50" s="19">
        <f t="shared" ref="S50:S51" si="3">G50+H50+I50+J50+K50+L50+M50+N50+O50+P50+Q50+R50</f>
        <v>0</v>
      </c>
    </row>
    <row r="51" spans="1:20">
      <c r="A51" s="16" t="s">
        <v>295</v>
      </c>
      <c r="B51" s="14">
        <v>2.2000000000000002</v>
      </c>
      <c r="C51" s="15" t="s">
        <v>6</v>
      </c>
      <c r="D51" s="23">
        <v>220000000</v>
      </c>
      <c r="E51" s="19">
        <f>731641866.3+78662250</f>
        <v>810304116.29999995</v>
      </c>
      <c r="F51" s="23">
        <f>D51+E51</f>
        <v>1030304116.3</v>
      </c>
      <c r="G51" s="19">
        <v>0</v>
      </c>
      <c r="H51" s="19">
        <v>0</v>
      </c>
      <c r="I51" s="19">
        <v>0</v>
      </c>
      <c r="J51" s="19">
        <v>0</v>
      </c>
      <c r="K51" s="19">
        <v>731641866.29999995</v>
      </c>
      <c r="L51" s="19">
        <v>78662250</v>
      </c>
      <c r="M51" s="19"/>
      <c r="N51" s="19"/>
      <c r="O51" s="19"/>
      <c r="P51" s="19"/>
      <c r="Q51" s="19"/>
      <c r="R51" s="19"/>
      <c r="S51" s="23">
        <f t="shared" si="3"/>
        <v>810304116.29999995</v>
      </c>
    </row>
    <row r="52" spans="1:20">
      <c r="A52" s="16" t="s">
        <v>296</v>
      </c>
      <c r="B52" s="14">
        <v>2.2999999999999998</v>
      </c>
      <c r="C52" s="15" t="s">
        <v>7</v>
      </c>
      <c r="D52" s="23">
        <v>2753000000</v>
      </c>
      <c r="E52" s="16"/>
      <c r="F52" s="23">
        <f>F53+F54+F55+F56+F57</f>
        <v>2753000000</v>
      </c>
      <c r="G52" s="23">
        <f>SUM(G53:G57)</f>
        <v>74176195</v>
      </c>
      <c r="H52" s="23">
        <f t="shared" ref="H52:S52" si="4">SUM(H53:H57)</f>
        <v>77468581</v>
      </c>
      <c r="I52" s="23">
        <f t="shared" si="4"/>
        <v>75964184</v>
      </c>
      <c r="J52" s="23">
        <f t="shared" si="4"/>
        <v>90721266</v>
      </c>
      <c r="K52" s="23">
        <f t="shared" si="4"/>
        <v>76702549</v>
      </c>
      <c r="L52" s="23">
        <f t="shared" si="4"/>
        <v>180576802</v>
      </c>
      <c r="M52" s="23">
        <f t="shared" si="4"/>
        <v>192754145</v>
      </c>
      <c r="N52" s="23">
        <f t="shared" si="4"/>
        <v>215746678</v>
      </c>
      <c r="O52" s="23">
        <f t="shared" si="4"/>
        <v>261505498</v>
      </c>
      <c r="P52" s="23">
        <f t="shared" si="4"/>
        <v>177444819</v>
      </c>
      <c r="Q52" s="23">
        <f t="shared" si="4"/>
        <v>172151021</v>
      </c>
      <c r="R52" s="23">
        <f t="shared" si="4"/>
        <v>191274589</v>
      </c>
      <c r="S52" s="23">
        <f t="shared" si="4"/>
        <v>1786486327</v>
      </c>
    </row>
    <row r="53" spans="1:20">
      <c r="A53" s="16" t="s">
        <v>299</v>
      </c>
      <c r="B53" s="17" t="s">
        <v>174</v>
      </c>
      <c r="C53" s="24" t="s">
        <v>175</v>
      </c>
      <c r="D53" s="19">
        <v>1033000000</v>
      </c>
      <c r="E53" s="16"/>
      <c r="F53" s="19">
        <f t="shared" ref="F53:F59" si="5">D53+E53</f>
        <v>1033000000</v>
      </c>
      <c r="G53" s="19">
        <f>38288204</f>
        <v>38288204</v>
      </c>
      <c r="H53" s="19">
        <v>36332304</v>
      </c>
      <c r="I53" s="19">
        <v>39524652</v>
      </c>
      <c r="J53" s="19">
        <v>38424681</v>
      </c>
      <c r="K53" s="19">
        <f>30841797+472771</f>
        <v>31314568</v>
      </c>
      <c r="L53" s="19">
        <v>78470661</v>
      </c>
      <c r="M53" s="19">
        <v>69562590</v>
      </c>
      <c r="N53" s="19">
        <f>10729659+19532773+46561656</f>
        <v>76824088</v>
      </c>
      <c r="O53" s="19">
        <f>8215748+19282901+39849654+55673550</f>
        <v>123021853</v>
      </c>
      <c r="P53" s="19">
        <v>83565809</v>
      </c>
      <c r="Q53" s="19">
        <v>80245874</v>
      </c>
      <c r="R53" s="19">
        <v>86770663</v>
      </c>
      <c r="S53" s="19">
        <f t="shared" ref="S53:S58" si="6">G53+H53+I53+J53+K53+L53+M53+N53+O53+P53+Q53+R53</f>
        <v>782345947</v>
      </c>
    </row>
    <row r="54" spans="1:20">
      <c r="A54" s="16" t="s">
        <v>300</v>
      </c>
      <c r="B54" s="17" t="s">
        <v>176</v>
      </c>
      <c r="C54" s="24" t="s">
        <v>177</v>
      </c>
      <c r="D54" s="19">
        <v>160000000</v>
      </c>
      <c r="E54" s="16"/>
      <c r="F54" s="19">
        <f t="shared" si="5"/>
        <v>160000000</v>
      </c>
      <c r="G54" s="19">
        <v>9419668</v>
      </c>
      <c r="H54" s="19">
        <v>15200304</v>
      </c>
      <c r="I54" s="19">
        <v>21626760</v>
      </c>
      <c r="J54" s="19">
        <f>364898+2067763+14857808</f>
        <v>17290469</v>
      </c>
      <c r="K54" s="19">
        <v>14857652</v>
      </c>
      <c r="L54" s="19">
        <v>17911487</v>
      </c>
      <c r="M54" s="19">
        <f>5462790+10568974</f>
        <v>16031764</v>
      </c>
      <c r="N54" s="19">
        <f>71988+97194+545607+157250+1388104+11656005+5346904</f>
        <v>19263052</v>
      </c>
      <c r="O54" s="19">
        <v>21536874</v>
      </c>
      <c r="P54" s="19">
        <f>38264802+13250+594720-20000000</f>
        <v>18872772</v>
      </c>
      <c r="Q54" s="19">
        <v>19524472</v>
      </c>
      <c r="R54" s="19">
        <f>18872464+1384719</f>
        <v>20257183</v>
      </c>
      <c r="S54" s="19">
        <f t="shared" si="6"/>
        <v>211792457</v>
      </c>
    </row>
    <row r="55" spans="1:20">
      <c r="A55" s="16" t="s">
        <v>301</v>
      </c>
      <c r="B55" s="17" t="s">
        <v>178</v>
      </c>
      <c r="C55" s="24" t="s">
        <v>179</v>
      </c>
      <c r="D55" s="19">
        <v>200000000</v>
      </c>
      <c r="E55" s="16"/>
      <c r="F55" s="19">
        <f t="shared" si="5"/>
        <v>200000000</v>
      </c>
      <c r="G55" s="19">
        <f>842863+9262940</f>
        <v>10105803</v>
      </c>
      <c r="H55" s="19">
        <v>7482101</v>
      </c>
      <c r="I55" s="19">
        <f>778462+7470099</f>
        <v>8248561</v>
      </c>
      <c r="J55" s="19">
        <f>8107347+842575+2548976</f>
        <v>11498898</v>
      </c>
      <c r="K55" s="19">
        <f>8074927+1188442+223040</f>
        <v>9486409</v>
      </c>
      <c r="L55" s="19">
        <v>544354</v>
      </c>
      <c r="M55" s="19">
        <v>343841</v>
      </c>
      <c r="N55" s="19">
        <f>232646+884818</f>
        <v>1117464</v>
      </c>
      <c r="O55" s="19">
        <v>1112900</v>
      </c>
      <c r="P55" s="19">
        <f>51977+12462</f>
        <v>64439</v>
      </c>
      <c r="Q55" s="19">
        <v>516107</v>
      </c>
      <c r="R55" s="19">
        <v>496665</v>
      </c>
      <c r="S55" s="19">
        <f t="shared" si="6"/>
        <v>51017542</v>
      </c>
    </row>
    <row r="56" spans="1:20">
      <c r="A56" s="16" t="s">
        <v>302</v>
      </c>
      <c r="B56" s="31" t="s">
        <v>180</v>
      </c>
      <c r="C56" s="24" t="s">
        <v>181</v>
      </c>
      <c r="D56" s="19">
        <v>700000000</v>
      </c>
      <c r="E56" s="16"/>
      <c r="F56" s="19">
        <f t="shared" si="5"/>
        <v>700000000</v>
      </c>
      <c r="G56" s="19">
        <v>9770461</v>
      </c>
      <c r="H56" s="19">
        <v>8894562</v>
      </c>
      <c r="I56" s="19">
        <v>3578456</v>
      </c>
      <c r="J56" s="19">
        <v>13654854</v>
      </c>
      <c r="K56" s="19">
        <v>12587632</v>
      </c>
      <c r="L56" s="19">
        <v>48485054</v>
      </c>
      <c r="M56" s="19">
        <v>59400023</v>
      </c>
      <c r="N56" s="19">
        <v>67452325</v>
      </c>
      <c r="O56" s="19">
        <f>310714+12649559+52607175</f>
        <v>65567448</v>
      </c>
      <c r="P56" s="19">
        <f>8889692+15644327+801899+10000000</f>
        <v>35335918</v>
      </c>
      <c r="Q56" s="19">
        <v>37452119</v>
      </c>
      <c r="R56" s="19">
        <v>40874582</v>
      </c>
      <c r="S56" s="19">
        <f t="shared" si="6"/>
        <v>403053434</v>
      </c>
    </row>
    <row r="57" spans="1:20">
      <c r="A57" s="16" t="s">
        <v>303</v>
      </c>
      <c r="B57" s="17" t="s">
        <v>182</v>
      </c>
      <c r="C57" s="24" t="s">
        <v>183</v>
      </c>
      <c r="D57" s="19">
        <v>660000000</v>
      </c>
      <c r="E57" s="29"/>
      <c r="F57" s="19">
        <f t="shared" si="5"/>
        <v>660000000</v>
      </c>
      <c r="G57" s="19">
        <v>6592059</v>
      </c>
      <c r="H57" s="19">
        <f>9258744+300566</f>
        <v>9559310</v>
      </c>
      <c r="I57" s="19">
        <v>2985755</v>
      </c>
      <c r="J57" s="19">
        <v>9852364</v>
      </c>
      <c r="K57" s="19">
        <v>8456288</v>
      </c>
      <c r="L57" s="19">
        <v>35165246</v>
      </c>
      <c r="M57" s="19">
        <v>47415927</v>
      </c>
      <c r="N57" s="19">
        <f>118542074-N56</f>
        <v>51089749</v>
      </c>
      <c r="O57" s="19">
        <f>40390781+9875642</f>
        <v>50266423</v>
      </c>
      <c r="P57" s="19">
        <f>29135418+470463+10000000</f>
        <v>39605881</v>
      </c>
      <c r="Q57" s="19">
        <v>34412449</v>
      </c>
      <c r="R57" s="19">
        <v>42875496</v>
      </c>
      <c r="S57" s="19">
        <f t="shared" si="6"/>
        <v>338276947</v>
      </c>
    </row>
    <row r="58" spans="1:20">
      <c r="A58" s="16" t="s">
        <v>297</v>
      </c>
      <c r="B58" s="14">
        <v>2.4</v>
      </c>
      <c r="C58" s="15" t="s">
        <v>8</v>
      </c>
      <c r="D58" s="23">
        <v>6000000</v>
      </c>
      <c r="E58" s="16"/>
      <c r="F58" s="19">
        <f t="shared" si="5"/>
        <v>6000000</v>
      </c>
      <c r="G58" s="23">
        <v>0</v>
      </c>
      <c r="H58" s="23">
        <v>0</v>
      </c>
      <c r="I58" s="23">
        <v>0</v>
      </c>
      <c r="J58" s="23">
        <f>5661.44+16479.75+4089.27+1284.02+360.53+133.7+7177.66+6749.25+55.21+101.48+1201.18+59.2+152.23+6100.05+73283.88+3828.42+181803+49.2+7173.15+105.69+63136.97+3965+222171+105.69+3975.26+6320.26+135.98+1242.6+91.02+47.88+8361.79+91.02+1242.6+6320.6+135.98+47.88+1896.97+1913.3+5881.6+1968.84+1989.5+2009.01+2028.39+6042.63+2046.85+2081.63+2121.84+2141.58+6476.01+2178.79+4375+2230.69+1664.16+1664.15+19074</f>
        <v>703024.77999999991</v>
      </c>
      <c r="K58" s="23">
        <v>0</v>
      </c>
      <c r="L58" s="23"/>
      <c r="M58" s="23"/>
      <c r="N58" s="23"/>
      <c r="O58" s="23"/>
      <c r="P58" s="23">
        <v>956428</v>
      </c>
      <c r="Q58" s="23"/>
      <c r="R58" s="23">
        <v>3856241</v>
      </c>
      <c r="S58" s="23">
        <f t="shared" si="6"/>
        <v>5515693.7799999993</v>
      </c>
    </row>
    <row r="59" spans="1:20">
      <c r="A59" s="16" t="s">
        <v>298</v>
      </c>
      <c r="B59" s="14">
        <v>2.5</v>
      </c>
      <c r="C59" s="15" t="s">
        <v>9</v>
      </c>
      <c r="D59" s="23">
        <v>1000000</v>
      </c>
      <c r="E59" s="16"/>
      <c r="F59" s="19">
        <f t="shared" si="5"/>
        <v>1000000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  <c r="M59" s="19"/>
      <c r="N59" s="19"/>
      <c r="O59" s="19"/>
      <c r="P59" s="19"/>
      <c r="Q59" s="19"/>
      <c r="R59" s="19"/>
      <c r="S59" s="19">
        <f t="shared" ref="S59" si="7">G59+H59+I59+J59+K59+L59+M59+N59</f>
        <v>0</v>
      </c>
      <c r="T59" s="43"/>
    </row>
    <row r="60" spans="1:20">
      <c r="A60" s="16"/>
      <c r="B60" s="20"/>
      <c r="C60" s="21" t="s">
        <v>184</v>
      </c>
      <c r="D60" s="22">
        <f t="shared" ref="D60:S60" si="8">D51+D52+D58+D59</f>
        <v>2980000000</v>
      </c>
      <c r="E60" s="22">
        <f t="shared" si="8"/>
        <v>810304116.29999995</v>
      </c>
      <c r="F60" s="22">
        <f t="shared" si="8"/>
        <v>3790304116.3000002</v>
      </c>
      <c r="G60" s="22">
        <f t="shared" si="8"/>
        <v>74176195</v>
      </c>
      <c r="H60" s="22">
        <f t="shared" si="8"/>
        <v>77468581</v>
      </c>
      <c r="I60" s="22">
        <f t="shared" si="8"/>
        <v>75964184</v>
      </c>
      <c r="J60" s="22">
        <f t="shared" si="8"/>
        <v>91424290.780000001</v>
      </c>
      <c r="K60" s="22">
        <f t="shared" si="8"/>
        <v>808344415.29999995</v>
      </c>
      <c r="L60" s="22">
        <f t="shared" si="8"/>
        <v>259239052</v>
      </c>
      <c r="M60" s="22">
        <f t="shared" si="8"/>
        <v>192754145</v>
      </c>
      <c r="N60" s="22">
        <f t="shared" si="8"/>
        <v>215746678</v>
      </c>
      <c r="O60" s="22">
        <f t="shared" si="8"/>
        <v>261505498</v>
      </c>
      <c r="P60" s="22">
        <f t="shared" si="8"/>
        <v>178401247</v>
      </c>
      <c r="Q60" s="22">
        <f t="shared" si="8"/>
        <v>172151021</v>
      </c>
      <c r="R60" s="22">
        <f t="shared" si="8"/>
        <v>195130830</v>
      </c>
      <c r="S60" s="22">
        <f t="shared" si="8"/>
        <v>2602306137.0800004</v>
      </c>
    </row>
    <row r="61" spans="1:20" ht="15.75">
      <c r="A61" s="16"/>
      <c r="B61" s="74" t="s">
        <v>186</v>
      </c>
      <c r="C61" s="74"/>
      <c r="D61" s="32">
        <f t="shared" ref="D61:S61" si="9">D48+D51+D52+D58+D59</f>
        <v>10950000000</v>
      </c>
      <c r="E61" s="46">
        <f t="shared" si="9"/>
        <v>810304116.29999995</v>
      </c>
      <c r="F61" s="46">
        <f t="shared" si="9"/>
        <v>11760304116.299999</v>
      </c>
      <c r="G61" s="32">
        <f t="shared" si="9"/>
        <v>568706923</v>
      </c>
      <c r="H61" s="32">
        <f t="shared" si="9"/>
        <v>583171168</v>
      </c>
      <c r="I61" s="32">
        <f t="shared" si="9"/>
        <v>788742402</v>
      </c>
      <c r="J61" s="46">
        <f t="shared" si="9"/>
        <v>562132273.77999997</v>
      </c>
      <c r="K61" s="46">
        <f t="shared" si="9"/>
        <v>1301916794.3</v>
      </c>
      <c r="L61" s="46">
        <f t="shared" si="9"/>
        <v>625437407</v>
      </c>
      <c r="M61" s="46">
        <f t="shared" si="9"/>
        <v>1161123879</v>
      </c>
      <c r="N61" s="46">
        <f t="shared" si="9"/>
        <v>637017866</v>
      </c>
      <c r="O61" s="46">
        <f t="shared" si="9"/>
        <v>935823135</v>
      </c>
      <c r="P61" s="46">
        <f t="shared" si="9"/>
        <v>535055788.80000001</v>
      </c>
      <c r="Q61" s="46">
        <f t="shared" si="9"/>
        <v>472146802</v>
      </c>
      <c r="R61" s="46">
        <f t="shared" si="9"/>
        <v>613215049</v>
      </c>
      <c r="S61" s="46">
        <f t="shared" si="9"/>
        <v>8784489487.8800011</v>
      </c>
    </row>
    <row r="62" spans="1:20" ht="15.75" customHeight="1">
      <c r="J62" s="33"/>
      <c r="K62" s="51"/>
      <c r="L62" s="51"/>
      <c r="M62" s="51"/>
      <c r="N62" s="51"/>
      <c r="O62" s="51"/>
      <c r="P62" s="51"/>
      <c r="Q62" s="56"/>
      <c r="R62" s="56"/>
      <c r="S62" s="51"/>
    </row>
    <row r="63" spans="1:20">
      <c r="Q63" s="51"/>
      <c r="R63" s="51"/>
      <c r="S63" s="51"/>
    </row>
    <row r="64" spans="1:20">
      <c r="S64" s="51"/>
    </row>
    <row r="65" spans="1:19">
      <c r="R65" s="56"/>
      <c r="S65" s="51"/>
    </row>
    <row r="66" spans="1:19">
      <c r="A66" s="44"/>
      <c r="S66" s="51"/>
    </row>
    <row r="67" spans="1:19" ht="15" customHeight="1">
      <c r="S67" s="33"/>
    </row>
    <row r="68" spans="1:19">
      <c r="G68" s="33"/>
      <c r="S68" s="33"/>
    </row>
    <row r="69" spans="1:19">
      <c r="B69" s="58" t="s">
        <v>330</v>
      </c>
      <c r="G69" s="33"/>
      <c r="S69" s="33"/>
    </row>
    <row r="70" spans="1:19">
      <c r="B70" s="58"/>
      <c r="G70" s="33"/>
      <c r="S70" s="33"/>
    </row>
    <row r="71" spans="1:19">
      <c r="B71" s="58"/>
      <c r="G71" s="33"/>
    </row>
    <row r="72" spans="1:19">
      <c r="B72" s="58"/>
      <c r="G72" s="33"/>
    </row>
    <row r="73" spans="1:19">
      <c r="B73" s="58"/>
      <c r="G73" s="33"/>
    </row>
    <row r="74" spans="1:19">
      <c r="G74" s="33"/>
    </row>
    <row r="75" spans="1:19">
      <c r="G75" s="33"/>
    </row>
    <row r="76" spans="1:19">
      <c r="G76" s="33"/>
    </row>
    <row r="77" spans="1:19">
      <c r="G77" s="33"/>
    </row>
    <row r="78" spans="1:19">
      <c r="G78" s="33"/>
    </row>
    <row r="79" spans="1:19">
      <c r="G79" s="33"/>
    </row>
    <row r="80" spans="1:19">
      <c r="G80" s="33"/>
      <c r="H80" s="33"/>
      <c r="I80" s="33"/>
      <c r="J80" s="33"/>
    </row>
  </sheetData>
  <mergeCells count="21">
    <mergeCell ref="O2:O3"/>
    <mergeCell ref="P2:P3"/>
    <mergeCell ref="N2:N3"/>
    <mergeCell ref="B61:C61"/>
    <mergeCell ref="Q2:Q3"/>
    <mergeCell ref="S2:S3"/>
    <mergeCell ref="A1:S1"/>
    <mergeCell ref="K2:K3"/>
    <mergeCell ref="J2:J3"/>
    <mergeCell ref="L2:L3"/>
    <mergeCell ref="M2:M3"/>
    <mergeCell ref="H2:H3"/>
    <mergeCell ref="I2:I3"/>
    <mergeCell ref="A2:A3"/>
    <mergeCell ref="B2:B3"/>
    <mergeCell ref="C2:C3"/>
    <mergeCell ref="D2:D3"/>
    <mergeCell ref="E2:E3"/>
    <mergeCell ref="F2:F3"/>
    <mergeCell ref="G2:G3"/>
    <mergeCell ref="R2:R3"/>
  </mergeCells>
  <pageMargins left="2.17" right="0.7" top="0.75" bottom="0.75" header="0.3" footer="0.3"/>
  <pageSetup paperSize="5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7"/>
  <sheetViews>
    <sheetView topLeftCell="B1" workbookViewId="0">
      <selection activeCell="F1" sqref="F1:F1048576"/>
    </sheetView>
  </sheetViews>
  <sheetFormatPr baseColWidth="10" defaultRowHeight="15"/>
  <cols>
    <col min="1" max="1" width="11.42578125" customWidth="1"/>
    <col min="2" max="2" width="14.85546875" customWidth="1"/>
    <col min="3" max="3" width="50.140625" customWidth="1"/>
    <col min="4" max="4" width="25.85546875" customWidth="1"/>
    <col min="5" max="5" width="23.28515625" customWidth="1"/>
    <col min="6" max="6" width="22.7109375" customWidth="1"/>
  </cols>
  <sheetData>
    <row r="1" spans="1:6" ht="15" customHeight="1">
      <c r="A1" s="75" t="s">
        <v>252</v>
      </c>
      <c r="B1" s="75" t="s">
        <v>251</v>
      </c>
      <c r="C1" s="75" t="s">
        <v>87</v>
      </c>
      <c r="D1" s="75" t="s">
        <v>324</v>
      </c>
      <c r="E1" s="75" t="s">
        <v>326</v>
      </c>
      <c r="F1" s="67" t="s">
        <v>334</v>
      </c>
    </row>
    <row r="2" spans="1:6">
      <c r="A2" s="76"/>
      <c r="B2" s="76"/>
      <c r="C2" s="76"/>
      <c r="D2" s="76"/>
      <c r="E2" s="76"/>
      <c r="F2" s="67"/>
    </row>
    <row r="3" spans="1:6">
      <c r="A3" s="16"/>
      <c r="B3" s="14">
        <v>1.1000000000000001</v>
      </c>
      <c r="C3" s="15" t="s">
        <v>2</v>
      </c>
      <c r="D3" s="28"/>
      <c r="E3" s="16"/>
      <c r="F3" s="16"/>
    </row>
    <row r="4" spans="1:6">
      <c r="A4" s="16" t="s">
        <v>253</v>
      </c>
      <c r="B4" s="17" t="s">
        <v>88</v>
      </c>
      <c r="C4" s="18" t="s">
        <v>89</v>
      </c>
      <c r="D4" s="28">
        <v>1179858900</v>
      </c>
      <c r="E4" s="28">
        <v>452000000</v>
      </c>
      <c r="F4" s="16"/>
    </row>
    <row r="5" spans="1:6">
      <c r="A5" s="16"/>
      <c r="B5" s="14">
        <v>1.2</v>
      </c>
      <c r="C5" s="15" t="s">
        <v>3</v>
      </c>
      <c r="D5" s="28"/>
      <c r="E5" s="28"/>
      <c r="F5" s="25">
        <f>SUM(F6:F16)</f>
        <v>2832090889</v>
      </c>
    </row>
    <row r="6" spans="1:6">
      <c r="A6" s="16" t="s">
        <v>254</v>
      </c>
      <c r="B6" s="17" t="s">
        <v>90</v>
      </c>
      <c r="C6" s="18" t="s">
        <v>91</v>
      </c>
      <c r="D6" s="28">
        <v>940273210</v>
      </c>
      <c r="E6" s="28">
        <v>1299593449</v>
      </c>
      <c r="F6" s="29">
        <v>2295088298</v>
      </c>
    </row>
    <row r="7" spans="1:6">
      <c r="A7" s="16" t="s">
        <v>255</v>
      </c>
      <c r="B7" s="17" t="s">
        <v>92</v>
      </c>
      <c r="C7" s="18" t="s">
        <v>93</v>
      </c>
      <c r="D7" s="28">
        <v>354715816</v>
      </c>
      <c r="E7" s="28">
        <v>344628481</v>
      </c>
      <c r="F7" s="29">
        <v>0</v>
      </c>
    </row>
    <row r="8" spans="1:6">
      <c r="A8" s="16" t="s">
        <v>256</v>
      </c>
      <c r="B8" s="17" t="s">
        <v>94</v>
      </c>
      <c r="C8" s="18" t="s">
        <v>95</v>
      </c>
      <c r="D8" s="28">
        <v>25472716</v>
      </c>
      <c r="E8" s="28">
        <v>33974498</v>
      </c>
      <c r="F8" s="29">
        <v>72526951</v>
      </c>
    </row>
    <row r="9" spans="1:6">
      <c r="A9" s="16" t="s">
        <v>293</v>
      </c>
      <c r="B9" s="17" t="s">
        <v>96</v>
      </c>
      <c r="C9" s="18" t="s">
        <v>97</v>
      </c>
      <c r="D9" s="28">
        <v>1109862865</v>
      </c>
      <c r="E9" s="28">
        <v>1204183119</v>
      </c>
      <c r="F9" s="29">
        <v>4816733</v>
      </c>
    </row>
    <row r="10" spans="1:6">
      <c r="A10" s="16" t="s">
        <v>257</v>
      </c>
      <c r="B10" s="17" t="s">
        <v>98</v>
      </c>
      <c r="C10" s="18" t="s">
        <v>99</v>
      </c>
      <c r="D10" s="28">
        <v>10573864</v>
      </c>
      <c r="E10" s="28">
        <v>11789875</v>
      </c>
      <c r="F10" s="29">
        <v>1364930</v>
      </c>
    </row>
    <row r="11" spans="1:6">
      <c r="A11" s="16" t="s">
        <v>258</v>
      </c>
      <c r="B11" s="17" t="s">
        <v>100</v>
      </c>
      <c r="C11" s="18" t="s">
        <v>101</v>
      </c>
      <c r="D11" s="28">
        <v>13373448</v>
      </c>
      <c r="E11" s="28">
        <v>15950240</v>
      </c>
      <c r="F11" s="29">
        <v>8133346</v>
      </c>
    </row>
    <row r="12" spans="1:6">
      <c r="A12" s="16" t="s">
        <v>259</v>
      </c>
      <c r="B12" s="17" t="s">
        <v>102</v>
      </c>
      <c r="C12" s="18" t="s">
        <v>103</v>
      </c>
      <c r="D12" s="28">
        <v>77112760</v>
      </c>
      <c r="E12" s="28">
        <v>92560869</v>
      </c>
      <c r="F12" s="29">
        <v>0</v>
      </c>
    </row>
    <row r="13" spans="1:6">
      <c r="A13" s="16" t="s">
        <v>260</v>
      </c>
      <c r="B13" s="17" t="s">
        <v>104</v>
      </c>
      <c r="C13" s="18" t="s">
        <v>105</v>
      </c>
      <c r="D13" s="28">
        <v>0</v>
      </c>
      <c r="E13" s="28">
        <v>7148752</v>
      </c>
      <c r="F13" s="29">
        <v>286956394</v>
      </c>
    </row>
    <row r="14" spans="1:6">
      <c r="A14" s="16" t="s">
        <v>261</v>
      </c>
      <c r="B14" s="17" t="s">
        <v>106</v>
      </c>
      <c r="C14" s="18" t="s">
        <v>107</v>
      </c>
      <c r="D14" s="28">
        <v>113602614</v>
      </c>
      <c r="E14" s="28">
        <v>315951987</v>
      </c>
      <c r="F14" s="29">
        <v>115984687</v>
      </c>
    </row>
    <row r="15" spans="1:6">
      <c r="A15" s="16" t="s">
        <v>262</v>
      </c>
      <c r="B15" s="17" t="s">
        <v>108</v>
      </c>
      <c r="C15" s="18" t="s">
        <v>109</v>
      </c>
      <c r="D15" s="28">
        <v>5466252</v>
      </c>
      <c r="E15" s="28">
        <v>3625025</v>
      </c>
      <c r="F15" s="29">
        <v>36086174</v>
      </c>
    </row>
    <row r="16" spans="1:6">
      <c r="A16" s="16" t="s">
        <v>294</v>
      </c>
      <c r="B16" s="17" t="s">
        <v>110</v>
      </c>
      <c r="C16" s="18" t="s">
        <v>111</v>
      </c>
      <c r="D16" s="28">
        <v>425159070</v>
      </c>
      <c r="E16" s="28">
        <v>568274347</v>
      </c>
      <c r="F16" s="29">
        <v>11133376</v>
      </c>
    </row>
    <row r="17" spans="1:6">
      <c r="A17" s="16" t="s">
        <v>263</v>
      </c>
      <c r="B17" s="17" t="s">
        <v>112</v>
      </c>
      <c r="C17" s="18" t="s">
        <v>113</v>
      </c>
      <c r="D17" s="28">
        <v>166292859</v>
      </c>
      <c r="E17" s="28">
        <v>224180703</v>
      </c>
      <c r="F17" s="25">
        <f>SUM(F18:F21)</f>
        <v>1088245539</v>
      </c>
    </row>
    <row r="18" spans="1:6">
      <c r="A18" s="16" t="s">
        <v>264</v>
      </c>
      <c r="B18" s="17" t="s">
        <v>114</v>
      </c>
      <c r="C18" s="18" t="s">
        <v>115</v>
      </c>
      <c r="D18" s="28">
        <v>209965</v>
      </c>
      <c r="E18" s="28">
        <v>3644293</v>
      </c>
      <c r="F18" s="29">
        <v>373330237</v>
      </c>
    </row>
    <row r="19" spans="1:6">
      <c r="A19" s="16" t="s">
        <v>265</v>
      </c>
      <c r="B19" s="17" t="s">
        <v>116</v>
      </c>
      <c r="C19" s="18" t="s">
        <v>117</v>
      </c>
      <c r="D19" s="28">
        <v>51328945</v>
      </c>
      <c r="E19" s="28">
        <v>42787865</v>
      </c>
      <c r="F19" s="29">
        <v>318039881</v>
      </c>
    </row>
    <row r="20" spans="1:6">
      <c r="A20" s="16" t="s">
        <v>266</v>
      </c>
      <c r="B20" s="17" t="s">
        <v>118</v>
      </c>
      <c r="C20" s="18" t="s">
        <v>119</v>
      </c>
      <c r="D20" s="28">
        <v>74461775</v>
      </c>
      <c r="E20" s="28">
        <v>122472078</v>
      </c>
      <c r="F20" s="29">
        <v>396875421</v>
      </c>
    </row>
    <row r="21" spans="1:6">
      <c r="A21" s="16" t="s">
        <v>267</v>
      </c>
      <c r="B21" s="17" t="s">
        <v>120</v>
      </c>
      <c r="C21" s="18" t="s">
        <v>121</v>
      </c>
      <c r="D21" s="28">
        <v>2164172</v>
      </c>
      <c r="E21" s="28">
        <v>4409653</v>
      </c>
      <c r="F21" s="29">
        <v>0</v>
      </c>
    </row>
    <row r="22" spans="1:6">
      <c r="A22" s="16" t="s">
        <v>268</v>
      </c>
      <c r="B22" s="17" t="s">
        <v>122</v>
      </c>
      <c r="C22" s="18" t="s">
        <v>123</v>
      </c>
      <c r="D22" s="28">
        <v>102420688</v>
      </c>
      <c r="E22" s="28">
        <v>34923463</v>
      </c>
      <c r="F22" s="25">
        <f>SUM(F23:F28)</f>
        <v>669103255</v>
      </c>
    </row>
    <row r="23" spans="1:6">
      <c r="A23" s="16" t="s">
        <v>269</v>
      </c>
      <c r="B23" s="17" t="s">
        <v>124</v>
      </c>
      <c r="C23" s="18" t="s">
        <v>125</v>
      </c>
      <c r="D23" s="28">
        <v>33808600</v>
      </c>
      <c r="E23" s="28">
        <v>9878933</v>
      </c>
      <c r="F23" s="29">
        <v>104778552</v>
      </c>
    </row>
    <row r="24" spans="1:6">
      <c r="A24" s="16" t="s">
        <v>270</v>
      </c>
      <c r="B24" s="17" t="s">
        <v>126</v>
      </c>
      <c r="C24" s="18" t="s">
        <v>127</v>
      </c>
      <c r="D24" s="28">
        <v>12109570</v>
      </c>
      <c r="E24" s="28">
        <v>65637831</v>
      </c>
      <c r="F24" s="29">
        <v>11941514</v>
      </c>
    </row>
    <row r="25" spans="1:6">
      <c r="A25" s="16" t="s">
        <v>271</v>
      </c>
      <c r="B25" s="17" t="s">
        <v>128</v>
      </c>
      <c r="C25" s="18" t="s">
        <v>129</v>
      </c>
      <c r="D25" s="28">
        <v>1643554</v>
      </c>
      <c r="E25" s="28">
        <v>4416166</v>
      </c>
      <c r="F25" s="29">
        <v>10845373</v>
      </c>
    </row>
    <row r="26" spans="1:6">
      <c r="A26" s="16" t="s">
        <v>272</v>
      </c>
      <c r="B26" s="17" t="s">
        <v>130</v>
      </c>
      <c r="C26" s="18" t="s">
        <v>131</v>
      </c>
      <c r="D26" s="28">
        <v>4985922</v>
      </c>
      <c r="E26" s="28">
        <v>7256014</v>
      </c>
      <c r="F26" s="29">
        <v>10845373</v>
      </c>
    </row>
    <row r="27" spans="1:6">
      <c r="A27" s="16" t="s">
        <v>273</v>
      </c>
      <c r="B27" s="17" t="s">
        <v>132</v>
      </c>
      <c r="C27" s="18" t="s">
        <v>133</v>
      </c>
      <c r="D27" s="28">
        <v>527903</v>
      </c>
      <c r="E27" s="28">
        <v>761097</v>
      </c>
      <c r="F27" s="29">
        <v>29895126</v>
      </c>
    </row>
    <row r="28" spans="1:6">
      <c r="A28" s="16" t="s">
        <v>274</v>
      </c>
      <c r="B28" s="17" t="s">
        <v>134</v>
      </c>
      <c r="C28" s="18" t="s">
        <v>135</v>
      </c>
      <c r="D28" s="28">
        <v>4354904</v>
      </c>
      <c r="E28" s="28">
        <v>7851486</v>
      </c>
      <c r="F28" s="29">
        <v>500797317</v>
      </c>
    </row>
    <row r="29" spans="1:6">
      <c r="A29" s="16" t="s">
        <v>275</v>
      </c>
      <c r="B29" s="17" t="s">
        <v>136</v>
      </c>
      <c r="C29" s="18" t="s">
        <v>137</v>
      </c>
      <c r="D29" s="28">
        <v>0</v>
      </c>
      <c r="E29" s="28">
        <v>1696160</v>
      </c>
      <c r="F29" s="16"/>
    </row>
    <row r="30" spans="1:6">
      <c r="A30" s="16" t="s">
        <v>291</v>
      </c>
      <c r="B30" s="17" t="s">
        <v>138</v>
      </c>
      <c r="C30" s="18" t="s">
        <v>139</v>
      </c>
      <c r="D30" s="28">
        <v>2137366</v>
      </c>
      <c r="E30" s="28">
        <v>4831335</v>
      </c>
      <c r="F30" s="25">
        <f>SUM(F31:F36)</f>
        <v>242138956</v>
      </c>
    </row>
    <row r="31" spans="1:6">
      <c r="A31" s="16" t="s">
        <v>276</v>
      </c>
      <c r="B31" s="17" t="s">
        <v>140</v>
      </c>
      <c r="C31" s="18" t="s">
        <v>141</v>
      </c>
      <c r="D31" s="28">
        <v>31471</v>
      </c>
      <c r="E31" s="28">
        <v>245409</v>
      </c>
      <c r="F31" s="29">
        <v>59471496</v>
      </c>
    </row>
    <row r="32" spans="1:6">
      <c r="A32" s="16" t="s">
        <v>277</v>
      </c>
      <c r="B32" s="17" t="s">
        <v>142</v>
      </c>
      <c r="C32" s="18" t="s">
        <v>143</v>
      </c>
      <c r="D32" s="28">
        <v>0</v>
      </c>
      <c r="E32" s="28">
        <v>0</v>
      </c>
      <c r="F32" s="29">
        <f>7507617+29425785+17277306</f>
        <v>54210708</v>
      </c>
    </row>
    <row r="33" spans="1:6">
      <c r="A33" s="16" t="s">
        <v>278</v>
      </c>
      <c r="B33" s="17" t="s">
        <v>144</v>
      </c>
      <c r="C33" s="18" t="s">
        <v>145</v>
      </c>
      <c r="D33" s="28">
        <v>0</v>
      </c>
      <c r="E33" s="28">
        <v>0</v>
      </c>
      <c r="F33" s="29">
        <v>128456752</v>
      </c>
    </row>
    <row r="34" spans="1:6">
      <c r="A34" s="16" t="s">
        <v>279</v>
      </c>
      <c r="B34" s="17" t="s">
        <v>146</v>
      </c>
      <c r="C34" s="18" t="s">
        <v>147</v>
      </c>
      <c r="D34" s="28">
        <v>41416964</v>
      </c>
      <c r="E34" s="28">
        <v>53103852</v>
      </c>
      <c r="F34" s="29"/>
    </row>
    <row r="35" spans="1:6">
      <c r="A35" s="16" t="s">
        <v>280</v>
      </c>
      <c r="B35" s="17" t="s">
        <v>148</v>
      </c>
      <c r="C35" s="18" t="s">
        <v>149</v>
      </c>
      <c r="D35" s="28">
        <v>17240906</v>
      </c>
      <c r="E35" s="28">
        <v>18850164</v>
      </c>
      <c r="F35" s="29"/>
    </row>
    <row r="36" spans="1:6">
      <c r="A36" s="16" t="s">
        <v>281</v>
      </c>
      <c r="B36" s="17" t="s">
        <v>150</v>
      </c>
      <c r="C36" s="18" t="s">
        <v>151</v>
      </c>
      <c r="D36" s="28">
        <v>28684587</v>
      </c>
      <c r="E36" s="28">
        <v>18932350</v>
      </c>
      <c r="F36" s="29">
        <v>0</v>
      </c>
    </row>
    <row r="37" spans="1:6">
      <c r="A37" s="16" t="s">
        <v>282</v>
      </c>
      <c r="B37" s="17" t="s">
        <v>152</v>
      </c>
      <c r="C37" s="18" t="s">
        <v>153</v>
      </c>
      <c r="D37" s="28">
        <v>279614561</v>
      </c>
      <c r="E37" s="28">
        <v>507124233</v>
      </c>
      <c r="F37" s="25">
        <f>SUM(F38:F46)</f>
        <v>380008817</v>
      </c>
    </row>
    <row r="38" spans="1:6">
      <c r="A38" s="16" t="s">
        <v>283</v>
      </c>
      <c r="B38" s="17" t="s">
        <v>154</v>
      </c>
      <c r="C38" s="18" t="s">
        <v>155</v>
      </c>
      <c r="D38" s="28">
        <v>433430</v>
      </c>
      <c r="E38" s="28">
        <v>560004</v>
      </c>
      <c r="F38" s="29">
        <v>46879524</v>
      </c>
    </row>
    <row r="39" spans="1:6">
      <c r="A39" s="16" t="s">
        <v>284</v>
      </c>
      <c r="B39" s="17" t="s">
        <v>156</v>
      </c>
      <c r="C39" s="18" t="s">
        <v>157</v>
      </c>
      <c r="D39" s="28">
        <v>1389392</v>
      </c>
      <c r="E39" s="28">
        <v>1492572</v>
      </c>
      <c r="F39" s="29">
        <v>78954622</v>
      </c>
    </row>
    <row r="40" spans="1:6">
      <c r="A40" s="16" t="s">
        <v>285</v>
      </c>
      <c r="B40" s="17" t="s">
        <v>158</v>
      </c>
      <c r="C40" s="18" t="s">
        <v>159</v>
      </c>
      <c r="D40" s="28">
        <v>0</v>
      </c>
      <c r="E40" s="28">
        <v>0</v>
      </c>
      <c r="F40" s="29">
        <v>20037676</v>
      </c>
    </row>
    <row r="41" spans="1:6">
      <c r="A41" s="16" t="s">
        <v>286</v>
      </c>
      <c r="B41" s="17" t="s">
        <v>160</v>
      </c>
      <c r="C41" s="18" t="s">
        <v>161</v>
      </c>
      <c r="D41" s="28">
        <v>0</v>
      </c>
      <c r="E41" s="28">
        <v>0</v>
      </c>
      <c r="F41" s="29">
        <v>132759787</v>
      </c>
    </row>
    <row r="42" spans="1:6">
      <c r="A42" s="16" t="s">
        <v>287</v>
      </c>
      <c r="B42" s="17" t="s">
        <v>162</v>
      </c>
      <c r="C42" s="18" t="s">
        <v>163</v>
      </c>
      <c r="D42" s="28">
        <v>5207594</v>
      </c>
      <c r="E42" s="28">
        <v>11632711</v>
      </c>
      <c r="F42" s="29">
        <v>23836505</v>
      </c>
    </row>
    <row r="43" spans="1:6">
      <c r="A43" s="16" t="s">
        <v>288</v>
      </c>
      <c r="B43" s="17" t="s">
        <v>164</v>
      </c>
      <c r="C43" s="18" t="s">
        <v>165</v>
      </c>
      <c r="D43" s="28">
        <v>0</v>
      </c>
      <c r="E43" s="28">
        <v>0</v>
      </c>
      <c r="F43" s="29">
        <v>57667561</v>
      </c>
    </row>
    <row r="44" spans="1:6">
      <c r="A44" s="16" t="s">
        <v>289</v>
      </c>
      <c r="B44" s="17" t="s">
        <v>166</v>
      </c>
      <c r="C44" s="18" t="s">
        <v>167</v>
      </c>
      <c r="D44" s="28">
        <v>0</v>
      </c>
      <c r="E44" s="28">
        <v>414628</v>
      </c>
      <c r="F44" s="29">
        <v>4587962</v>
      </c>
    </row>
    <row r="45" spans="1:6">
      <c r="A45" s="16" t="s">
        <v>290</v>
      </c>
      <c r="B45" s="17" t="s">
        <v>168</v>
      </c>
      <c r="C45" s="18" t="s">
        <v>169</v>
      </c>
      <c r="D45" s="28">
        <v>14101273</v>
      </c>
      <c r="E45" s="28">
        <v>15679664</v>
      </c>
      <c r="F45" s="29">
        <v>15285180</v>
      </c>
    </row>
    <row r="46" spans="1:6">
      <c r="A46" s="16" t="s">
        <v>292</v>
      </c>
      <c r="B46" s="17" t="s">
        <v>170</v>
      </c>
      <c r="C46" s="18" t="s">
        <v>171</v>
      </c>
      <c r="D46" s="28">
        <v>7410893</v>
      </c>
      <c r="E46" s="28">
        <v>12151395</v>
      </c>
      <c r="F46" s="29"/>
    </row>
    <row r="47" spans="1:6">
      <c r="A47" s="16"/>
      <c r="B47" s="20"/>
      <c r="C47" s="21" t="s">
        <v>172</v>
      </c>
      <c r="D47" s="59">
        <v>5107448809</v>
      </c>
      <c r="E47" s="28">
        <v>5524614701</v>
      </c>
      <c r="F47" s="29"/>
    </row>
    <row r="48" spans="1:6">
      <c r="A48" s="16"/>
      <c r="B48" s="14">
        <v>2</v>
      </c>
      <c r="C48" s="30" t="s">
        <v>173</v>
      </c>
      <c r="D48" s="28"/>
      <c r="E48" s="16"/>
      <c r="F48" s="25">
        <f>SUM(F49:F52)</f>
        <v>466240838</v>
      </c>
    </row>
    <row r="49" spans="1:6">
      <c r="A49" s="16"/>
      <c r="B49" s="14">
        <v>2.1</v>
      </c>
      <c r="C49" s="15" t="s">
        <v>5</v>
      </c>
      <c r="D49" s="28">
        <v>0</v>
      </c>
      <c r="E49" s="28">
        <v>0</v>
      </c>
      <c r="F49" s="29">
        <v>55492537</v>
      </c>
    </row>
    <row r="50" spans="1:6">
      <c r="A50" s="16" t="s">
        <v>295</v>
      </c>
      <c r="B50" s="14">
        <v>2.2000000000000002</v>
      </c>
      <c r="C50" s="15" t="s">
        <v>6</v>
      </c>
      <c r="D50" s="28">
        <v>810304116.29999995</v>
      </c>
      <c r="E50" s="28"/>
      <c r="F50" s="29">
        <v>0</v>
      </c>
    </row>
    <row r="51" spans="1:6">
      <c r="A51" s="16" t="s">
        <v>296</v>
      </c>
      <c r="B51" s="14">
        <v>2.2999999999999998</v>
      </c>
      <c r="C51" s="15" t="s">
        <v>7</v>
      </c>
      <c r="D51" s="28">
        <v>1245615898</v>
      </c>
      <c r="E51" s="28">
        <v>0</v>
      </c>
      <c r="F51" s="29">
        <v>397474866</v>
      </c>
    </row>
    <row r="52" spans="1:6">
      <c r="A52" s="16" t="s">
        <v>299</v>
      </c>
      <c r="B52" s="17" t="s">
        <v>174</v>
      </c>
      <c r="C52" s="24" t="s">
        <v>175</v>
      </c>
      <c r="D52" s="28">
        <v>531763601</v>
      </c>
      <c r="E52" s="28">
        <v>577436252</v>
      </c>
      <c r="F52" s="29">
        <v>13273435</v>
      </c>
    </row>
    <row r="53" spans="1:6">
      <c r="A53" s="16" t="s">
        <v>300</v>
      </c>
      <c r="B53" s="17" t="s">
        <v>176</v>
      </c>
      <c r="C53" s="24" t="s">
        <v>177</v>
      </c>
      <c r="D53" s="28">
        <v>153138030</v>
      </c>
      <c r="E53" s="28">
        <v>165230545</v>
      </c>
      <c r="F53" s="25">
        <f>SUM(F54:F56)</f>
        <v>129493103</v>
      </c>
    </row>
    <row r="54" spans="1:6">
      <c r="A54" s="16" t="s">
        <v>301</v>
      </c>
      <c r="B54" s="17" t="s">
        <v>178</v>
      </c>
      <c r="C54" s="24" t="s">
        <v>179</v>
      </c>
      <c r="D54" s="28">
        <v>49940331</v>
      </c>
      <c r="E54" s="28">
        <v>182237646</v>
      </c>
      <c r="F54" s="29">
        <v>0</v>
      </c>
    </row>
    <row r="55" spans="1:6">
      <c r="A55" s="16" t="s">
        <v>302</v>
      </c>
      <c r="B55" s="31" t="s">
        <v>180</v>
      </c>
      <c r="C55" s="24" t="s">
        <v>181</v>
      </c>
      <c r="D55" s="28">
        <v>289390815</v>
      </c>
      <c r="E55" s="28">
        <v>185655810</v>
      </c>
      <c r="F55" s="29">
        <v>12332528</v>
      </c>
    </row>
    <row r="56" spans="1:6">
      <c r="A56" s="16" t="s">
        <v>303</v>
      </c>
      <c r="B56" s="17" t="s">
        <v>182</v>
      </c>
      <c r="C56" s="24" t="s">
        <v>183</v>
      </c>
      <c r="D56" s="28">
        <v>221383121</v>
      </c>
      <c r="E56" s="28">
        <v>206296256</v>
      </c>
      <c r="F56" s="29">
        <v>117160575</v>
      </c>
    </row>
    <row r="57" spans="1:6" ht="18.75">
      <c r="A57" s="16" t="s">
        <v>297</v>
      </c>
      <c r="B57" s="14">
        <v>2.4</v>
      </c>
      <c r="C57" s="15" t="s">
        <v>8</v>
      </c>
      <c r="D57" s="28">
        <v>703024.77999999991</v>
      </c>
      <c r="E57" s="28">
        <v>0</v>
      </c>
      <c r="F57" s="27">
        <f>F5+F17+F22+F30+F37+F48+F53</f>
        <v>5807321397</v>
      </c>
    </row>
    <row r="58" spans="1:6">
      <c r="A58" s="16" t="s">
        <v>298</v>
      </c>
      <c r="B58" s="14">
        <v>2.5</v>
      </c>
      <c r="C58" s="15" t="s">
        <v>9</v>
      </c>
      <c r="D58" s="28">
        <v>0</v>
      </c>
      <c r="E58" s="28">
        <v>0</v>
      </c>
      <c r="F58" s="29"/>
    </row>
    <row r="59" spans="1:6">
      <c r="A59" s="16"/>
      <c r="B59" s="20"/>
      <c r="C59" s="21" t="s">
        <v>184</v>
      </c>
      <c r="D59" s="59">
        <v>2056623039.0799999</v>
      </c>
      <c r="E59" s="59">
        <v>1316856509</v>
      </c>
      <c r="F59" s="29"/>
    </row>
    <row r="60" spans="1:6" ht="15.75">
      <c r="A60" s="16"/>
      <c r="B60" s="74" t="s">
        <v>186</v>
      </c>
      <c r="C60" s="74"/>
      <c r="D60" s="59">
        <v>7164071848.0799999</v>
      </c>
      <c r="E60" s="59">
        <v>6841471210</v>
      </c>
      <c r="F60" s="29"/>
    </row>
    <row r="61" spans="1:6">
      <c r="F61" s="29"/>
    </row>
    <row r="62" spans="1:6" ht="15" customHeight="1">
      <c r="A62" s="68" t="s">
        <v>196</v>
      </c>
      <c r="B62" s="68" t="s">
        <v>195</v>
      </c>
      <c r="C62" s="68" t="s">
        <v>23</v>
      </c>
      <c r="D62" s="68" t="s">
        <v>327</v>
      </c>
      <c r="E62" s="68" t="s">
        <v>328</v>
      </c>
      <c r="F62" s="29"/>
    </row>
    <row r="63" spans="1:6" ht="15" customHeight="1">
      <c r="A63" s="68"/>
      <c r="B63" s="68"/>
      <c r="C63" s="68"/>
      <c r="D63" s="68"/>
      <c r="E63" s="68"/>
      <c r="F63" s="29"/>
    </row>
    <row r="64" spans="1:6" ht="20.25" customHeight="1">
      <c r="A64" s="36"/>
      <c r="B64" s="36"/>
      <c r="C64" s="37" t="s">
        <v>10</v>
      </c>
      <c r="D64" s="28"/>
      <c r="E64" s="16"/>
      <c r="F64" s="29">
        <v>379221414</v>
      </c>
    </row>
    <row r="65" spans="1:6">
      <c r="A65" s="36" t="s">
        <v>197</v>
      </c>
      <c r="B65" s="36"/>
      <c r="C65" s="36" t="s">
        <v>24</v>
      </c>
      <c r="D65" s="28"/>
      <c r="E65" s="16"/>
      <c r="F65" s="29">
        <v>157710069</v>
      </c>
    </row>
    <row r="66" spans="1:6">
      <c r="A66" s="36" t="s">
        <v>198</v>
      </c>
      <c r="B66" s="36">
        <v>30501</v>
      </c>
      <c r="C66" s="36" t="s">
        <v>25</v>
      </c>
      <c r="D66" s="28">
        <v>2541848138</v>
      </c>
      <c r="E66" s="28">
        <v>1999061826</v>
      </c>
      <c r="F66" s="29">
        <v>285130000</v>
      </c>
    </row>
    <row r="67" spans="1:6">
      <c r="A67" s="36" t="s">
        <v>199</v>
      </c>
      <c r="B67" s="36">
        <v>30501180401</v>
      </c>
      <c r="C67" s="38" t="s">
        <v>26</v>
      </c>
      <c r="D67" s="28">
        <v>2052021911</v>
      </c>
      <c r="E67" s="28">
        <v>1568478747</v>
      </c>
      <c r="F67" s="29"/>
    </row>
    <row r="68" spans="1:6">
      <c r="A68" s="36" t="s">
        <v>200</v>
      </c>
      <c r="B68" s="36">
        <v>30501180402</v>
      </c>
      <c r="C68" s="36" t="s">
        <v>27</v>
      </c>
      <c r="D68" s="28">
        <v>0</v>
      </c>
      <c r="E68" s="28">
        <v>0</v>
      </c>
      <c r="F68" s="29"/>
    </row>
    <row r="69" spans="1:6">
      <c r="A69" s="36" t="s">
        <v>201</v>
      </c>
      <c r="B69" s="36">
        <v>30501180403</v>
      </c>
      <c r="C69" s="36" t="s">
        <v>28</v>
      </c>
      <c r="D69" s="28">
        <v>63397757</v>
      </c>
      <c r="E69" s="28">
        <v>75675911</v>
      </c>
      <c r="F69" s="29">
        <v>128754000</v>
      </c>
    </row>
    <row r="70" spans="1:6">
      <c r="A70" s="36" t="s">
        <v>202</v>
      </c>
      <c r="B70" s="36">
        <v>30501180404</v>
      </c>
      <c r="C70" s="36" t="s">
        <v>29</v>
      </c>
      <c r="D70" s="28">
        <v>4816733</v>
      </c>
      <c r="E70" s="28">
        <v>8910065</v>
      </c>
      <c r="F70" s="29"/>
    </row>
    <row r="71" spans="1:6">
      <c r="A71" s="36" t="s">
        <v>203</v>
      </c>
      <c r="B71" s="36">
        <v>30501180405</v>
      </c>
      <c r="C71" s="36" t="s">
        <v>30</v>
      </c>
      <c r="D71" s="28">
        <v>1209530</v>
      </c>
      <c r="E71" s="28">
        <v>389733</v>
      </c>
      <c r="F71" s="29">
        <v>228456214</v>
      </c>
    </row>
    <row r="72" spans="1:6">
      <c r="A72" s="36"/>
      <c r="B72" s="36">
        <v>30501180406</v>
      </c>
      <c r="C72" s="36" t="s">
        <v>31</v>
      </c>
      <c r="D72" s="28">
        <v>8133346</v>
      </c>
      <c r="E72" s="28">
        <v>24891932</v>
      </c>
      <c r="F72" s="29">
        <v>76300000</v>
      </c>
    </row>
    <row r="73" spans="1:6">
      <c r="A73" s="36" t="s">
        <v>204</v>
      </c>
      <c r="B73" s="36">
        <v>30501180407</v>
      </c>
      <c r="C73" s="36" t="s">
        <v>32</v>
      </c>
      <c r="D73" s="28">
        <v>0</v>
      </c>
      <c r="E73" s="28">
        <v>0</v>
      </c>
      <c r="F73" s="29">
        <v>246800472</v>
      </c>
    </row>
    <row r="74" spans="1:6">
      <c r="A74" s="36" t="s">
        <v>205</v>
      </c>
      <c r="B74" s="36">
        <v>30501180408</v>
      </c>
      <c r="C74" s="36" t="s">
        <v>33</v>
      </c>
      <c r="D74" s="28">
        <v>255441115</v>
      </c>
      <c r="E74" s="28">
        <v>187356690</v>
      </c>
      <c r="F74" s="29">
        <v>362879444</v>
      </c>
    </row>
    <row r="75" spans="1:6" ht="18.75">
      <c r="A75" s="36" t="s">
        <v>206</v>
      </c>
      <c r="B75" s="36">
        <v>30501180409</v>
      </c>
      <c r="C75" s="36" t="s">
        <v>34</v>
      </c>
      <c r="D75" s="28">
        <v>115984687</v>
      </c>
      <c r="E75" s="28">
        <v>88093045</v>
      </c>
      <c r="F75" s="48">
        <f>F64+F65+F66+F67+F68+F69+F70+F71+F72+F73+F74</f>
        <v>1865251613</v>
      </c>
    </row>
    <row r="76" spans="1:6" ht="18.75">
      <c r="A76" s="36" t="s">
        <v>207</v>
      </c>
      <c r="B76" s="36">
        <v>30501180410</v>
      </c>
      <c r="C76" s="36" t="s">
        <v>35</v>
      </c>
      <c r="D76" s="28">
        <v>30845209</v>
      </c>
      <c r="E76" s="28">
        <v>38577460</v>
      </c>
      <c r="F76" s="48">
        <f>F57+F75</f>
        <v>7672573010</v>
      </c>
    </row>
    <row r="77" spans="1:6">
      <c r="A77" s="36" t="s">
        <v>208</v>
      </c>
      <c r="B77" s="36">
        <v>30501180411</v>
      </c>
      <c r="C77" s="36" t="s">
        <v>36</v>
      </c>
      <c r="D77" s="28">
        <v>9997850</v>
      </c>
      <c r="E77" s="28">
        <v>6688243</v>
      </c>
    </row>
    <row r="78" spans="1:6">
      <c r="A78" s="36"/>
      <c r="B78" s="36"/>
      <c r="C78" s="36" t="s">
        <v>37</v>
      </c>
      <c r="D78" s="28">
        <v>1419251417</v>
      </c>
      <c r="E78" s="28">
        <v>1321442070</v>
      </c>
    </row>
    <row r="79" spans="1:6">
      <c r="A79" s="36" t="s">
        <v>209</v>
      </c>
      <c r="B79" s="36">
        <v>30501180412</v>
      </c>
      <c r="C79" s="36" t="s">
        <v>38</v>
      </c>
      <c r="D79" s="28">
        <v>573330237</v>
      </c>
      <c r="E79" s="28">
        <v>449100904</v>
      </c>
    </row>
    <row r="80" spans="1:6">
      <c r="A80" s="36" t="s">
        <v>210</v>
      </c>
      <c r="B80" s="36">
        <v>30501180413</v>
      </c>
      <c r="C80" s="36" t="s">
        <v>39</v>
      </c>
      <c r="D80" s="28">
        <v>318039881</v>
      </c>
      <c r="E80" s="28">
        <v>467315557</v>
      </c>
    </row>
    <row r="81" spans="1:6">
      <c r="A81" s="36" t="s">
        <v>211</v>
      </c>
      <c r="B81" s="36">
        <v>30501180414</v>
      </c>
      <c r="C81" s="36" t="s">
        <v>40</v>
      </c>
      <c r="D81" s="28">
        <v>527881299</v>
      </c>
      <c r="E81" s="28">
        <v>405025609</v>
      </c>
    </row>
    <row r="82" spans="1:6">
      <c r="A82" s="36" t="s">
        <v>212</v>
      </c>
      <c r="B82" s="36">
        <v>30501180415</v>
      </c>
      <c r="C82" s="36" t="s">
        <v>41</v>
      </c>
      <c r="D82" s="28">
        <v>0</v>
      </c>
      <c r="E82" s="28">
        <v>0</v>
      </c>
    </row>
    <row r="83" spans="1:6">
      <c r="A83" s="36"/>
      <c r="B83" s="36">
        <v>30501180416</v>
      </c>
      <c r="C83" s="36" t="s">
        <v>42</v>
      </c>
      <c r="D83" s="28">
        <v>604460166</v>
      </c>
      <c r="E83" s="28">
        <v>88637010</v>
      </c>
    </row>
    <row r="84" spans="1:6">
      <c r="A84" s="36" t="s">
        <v>218</v>
      </c>
      <c r="B84" s="36">
        <v>30501180417</v>
      </c>
      <c r="C84" s="36" t="s">
        <v>43</v>
      </c>
      <c r="D84" s="28">
        <v>96214337</v>
      </c>
      <c r="E84" s="28">
        <v>88637010</v>
      </c>
    </row>
    <row r="85" spans="1:6">
      <c r="A85" s="36" t="s">
        <v>213</v>
      </c>
      <c r="B85" s="36">
        <v>30501180418</v>
      </c>
      <c r="C85" s="36" t="s">
        <v>44</v>
      </c>
      <c r="D85" s="28">
        <v>10587314</v>
      </c>
      <c r="E85" s="28">
        <v>58321451</v>
      </c>
    </row>
    <row r="86" spans="1:6">
      <c r="A86" s="36" t="s">
        <v>214</v>
      </c>
      <c r="B86" s="36">
        <v>30501180419</v>
      </c>
      <c r="C86" s="36" t="s">
        <v>45</v>
      </c>
      <c r="D86" s="28">
        <v>8790497</v>
      </c>
      <c r="E86" s="28">
        <v>17043096</v>
      </c>
    </row>
    <row r="87" spans="1:6">
      <c r="A87" s="36" t="s">
        <v>215</v>
      </c>
      <c r="B87" s="36">
        <v>30501180420</v>
      </c>
      <c r="C87" s="36" t="s">
        <v>46</v>
      </c>
      <c r="D87" s="28">
        <v>8790497</v>
      </c>
      <c r="E87" s="28">
        <v>17043096</v>
      </c>
    </row>
    <row r="88" spans="1:6">
      <c r="A88" s="36" t="s">
        <v>216</v>
      </c>
      <c r="B88" s="36">
        <v>30501180421</v>
      </c>
      <c r="C88" s="36" t="s">
        <v>47</v>
      </c>
      <c r="D88" s="28">
        <v>26301826</v>
      </c>
      <c r="E88" s="28">
        <v>32307128</v>
      </c>
    </row>
    <row r="89" spans="1:6">
      <c r="A89" s="36" t="s">
        <v>217</v>
      </c>
      <c r="B89" s="36">
        <v>30501180422</v>
      </c>
      <c r="C89" s="36" t="s">
        <v>48</v>
      </c>
      <c r="D89" s="28">
        <v>453775695</v>
      </c>
      <c r="E89" s="28">
        <v>469957310</v>
      </c>
    </row>
    <row r="90" spans="1:6">
      <c r="A90" s="36"/>
      <c r="B90" s="36">
        <v>30502</v>
      </c>
      <c r="C90" s="36" t="s">
        <v>49</v>
      </c>
      <c r="D90" s="28"/>
      <c r="E90" s="28"/>
    </row>
    <row r="91" spans="1:6">
      <c r="A91" s="36"/>
      <c r="B91" s="36"/>
      <c r="C91" s="36" t="s">
        <v>50</v>
      </c>
      <c r="D91" s="28">
        <v>675095374</v>
      </c>
      <c r="E91" s="28">
        <v>470440990</v>
      </c>
    </row>
    <row r="92" spans="1:6">
      <c r="A92" s="36" t="s">
        <v>219</v>
      </c>
      <c r="B92" s="36">
        <v>30502180401</v>
      </c>
      <c r="C92" s="36" t="s">
        <v>51</v>
      </c>
      <c r="D92" s="28">
        <v>84959280</v>
      </c>
      <c r="E92" s="28">
        <v>0</v>
      </c>
    </row>
    <row r="93" spans="1:6">
      <c r="A93" s="36" t="s">
        <v>220</v>
      </c>
      <c r="B93" s="36">
        <v>30502180402</v>
      </c>
      <c r="C93" s="36" t="s">
        <v>52</v>
      </c>
      <c r="D93" s="28">
        <v>257792845</v>
      </c>
      <c r="E93" s="28">
        <v>208087850</v>
      </c>
    </row>
    <row r="94" spans="1:6">
      <c r="A94" s="36" t="s">
        <v>221</v>
      </c>
      <c r="B94" s="36">
        <v>30502180403</v>
      </c>
      <c r="C94" s="36" t="s">
        <v>53</v>
      </c>
      <c r="D94" s="28">
        <v>316537089</v>
      </c>
      <c r="E94" s="28">
        <v>244353140</v>
      </c>
    </row>
    <row r="95" spans="1:6">
      <c r="A95" s="36" t="s">
        <v>222</v>
      </c>
      <c r="B95" s="36">
        <v>30502180404</v>
      </c>
      <c r="C95" s="36" t="s">
        <v>54</v>
      </c>
      <c r="D95" s="28">
        <v>0</v>
      </c>
      <c r="E95" s="28">
        <v>18000000</v>
      </c>
      <c r="F95" s="43"/>
    </row>
    <row r="96" spans="1:6">
      <c r="A96" s="36" t="s">
        <v>223</v>
      </c>
      <c r="B96" s="36" t="s">
        <v>55</v>
      </c>
      <c r="C96" s="36" t="s">
        <v>56</v>
      </c>
      <c r="D96" s="28">
        <v>0</v>
      </c>
      <c r="E96" s="28">
        <v>0</v>
      </c>
    </row>
    <row r="97" spans="1:5">
      <c r="A97" s="36" t="s">
        <v>224</v>
      </c>
      <c r="B97" s="36">
        <v>30502180405</v>
      </c>
      <c r="C97" s="36" t="s">
        <v>57</v>
      </c>
      <c r="D97" s="28">
        <v>15806160</v>
      </c>
      <c r="E97" s="28">
        <v>0</v>
      </c>
    </row>
    <row r="98" spans="1:5">
      <c r="A98" s="36"/>
      <c r="B98" s="36"/>
      <c r="C98" s="36" t="s">
        <v>58</v>
      </c>
      <c r="D98" s="28">
        <v>405064577</v>
      </c>
      <c r="E98" s="28">
        <v>358009513</v>
      </c>
    </row>
    <row r="99" spans="1:5">
      <c r="A99" s="36" t="s">
        <v>225</v>
      </c>
      <c r="B99" s="36">
        <v>30502180406</v>
      </c>
      <c r="C99" s="36" t="s">
        <v>59</v>
      </c>
      <c r="D99" s="28">
        <v>51302296</v>
      </c>
      <c r="E99" s="28">
        <v>37524832</v>
      </c>
    </row>
    <row r="100" spans="1:5">
      <c r="A100" s="36" t="s">
        <v>226</v>
      </c>
      <c r="B100" s="36">
        <v>30502180407</v>
      </c>
      <c r="C100" s="36" t="s">
        <v>60</v>
      </c>
      <c r="D100" s="28">
        <v>54190300</v>
      </c>
      <c r="E100" s="28">
        <v>34000000</v>
      </c>
    </row>
    <row r="101" spans="1:5">
      <c r="A101" s="36" t="s">
        <v>227</v>
      </c>
      <c r="B101" s="36">
        <v>30502180408</v>
      </c>
      <c r="C101" s="36" t="s">
        <v>61</v>
      </c>
      <c r="D101" s="28">
        <v>20037676</v>
      </c>
      <c r="E101" s="28">
        <v>52497916</v>
      </c>
    </row>
    <row r="102" spans="1:5">
      <c r="A102" s="36" t="s">
        <v>228</v>
      </c>
      <c r="B102" s="36">
        <v>30502180409</v>
      </c>
      <c r="C102" s="36" t="s">
        <v>62</v>
      </c>
      <c r="D102" s="28">
        <v>118514846</v>
      </c>
      <c r="E102" s="28">
        <v>103747819</v>
      </c>
    </row>
    <row r="103" spans="1:5">
      <c r="A103" s="36" t="s">
        <v>229</v>
      </c>
      <c r="B103" s="36">
        <v>30502180410</v>
      </c>
      <c r="C103" s="36" t="s">
        <v>63</v>
      </c>
      <c r="D103" s="28">
        <v>20902029</v>
      </c>
      <c r="E103" s="28">
        <v>29410146</v>
      </c>
    </row>
    <row r="104" spans="1:5">
      <c r="A104" s="36" t="s">
        <v>230</v>
      </c>
      <c r="B104" s="36">
        <v>30502180411</v>
      </c>
      <c r="C104" s="36" t="s">
        <v>64</v>
      </c>
      <c r="D104" s="28">
        <v>118832250</v>
      </c>
      <c r="E104" s="28">
        <v>93140256</v>
      </c>
    </row>
    <row r="105" spans="1:5">
      <c r="A105" s="36" t="s">
        <v>231</v>
      </c>
      <c r="B105" s="36">
        <v>30502180412</v>
      </c>
      <c r="C105" s="36" t="s">
        <v>65</v>
      </c>
      <c r="D105" s="28">
        <v>6000000</v>
      </c>
      <c r="E105" s="28">
        <v>6984000</v>
      </c>
    </row>
    <row r="106" spans="1:5">
      <c r="A106" s="36" t="s">
        <v>232</v>
      </c>
      <c r="B106" s="36">
        <v>30502180413</v>
      </c>
      <c r="C106" s="36" t="s">
        <v>66</v>
      </c>
      <c r="D106" s="28">
        <v>15285180</v>
      </c>
      <c r="E106" s="28">
        <v>704544</v>
      </c>
    </row>
    <row r="107" spans="1:5">
      <c r="A107" s="36" t="s">
        <v>233</v>
      </c>
      <c r="B107" s="36">
        <v>30502180414</v>
      </c>
      <c r="C107" s="36" t="s">
        <v>67</v>
      </c>
      <c r="D107" s="28">
        <v>0</v>
      </c>
      <c r="E107" s="28">
        <v>0</v>
      </c>
    </row>
    <row r="108" spans="1:5">
      <c r="A108" s="36"/>
      <c r="B108" s="36"/>
      <c r="C108" s="36" t="s">
        <v>68</v>
      </c>
      <c r="D108" s="28"/>
      <c r="E108" s="28"/>
    </row>
    <row r="109" spans="1:5">
      <c r="A109" s="36"/>
      <c r="B109" s="36"/>
      <c r="C109" s="36" t="s">
        <v>69</v>
      </c>
      <c r="D109" s="28">
        <v>511035166</v>
      </c>
      <c r="E109" s="28">
        <v>367194337</v>
      </c>
    </row>
    <row r="110" spans="1:5">
      <c r="A110" s="36" t="s">
        <v>234</v>
      </c>
      <c r="B110" s="36">
        <v>30503180401</v>
      </c>
      <c r="C110" s="36" t="s">
        <v>70</v>
      </c>
      <c r="D110" s="28">
        <v>50286865</v>
      </c>
      <c r="E110" s="28">
        <v>40760792</v>
      </c>
    </row>
    <row r="111" spans="1:5">
      <c r="A111" s="36" t="s">
        <v>235</v>
      </c>
      <c r="B111" s="36">
        <v>30503180402</v>
      </c>
      <c r="C111" s="36" t="s">
        <v>71</v>
      </c>
      <c r="D111" s="28">
        <v>0</v>
      </c>
      <c r="E111" s="28">
        <v>0</v>
      </c>
    </row>
    <row r="112" spans="1:5">
      <c r="A112" s="36" t="s">
        <v>236</v>
      </c>
      <c r="B112" s="36">
        <v>30503180403</v>
      </c>
      <c r="C112" s="36" t="s">
        <v>72</v>
      </c>
      <c r="D112" s="28">
        <v>447474866</v>
      </c>
      <c r="E112" s="28">
        <v>315201462</v>
      </c>
    </row>
    <row r="113" spans="1:5">
      <c r="A113" s="36" t="s">
        <v>237</v>
      </c>
      <c r="B113" s="36">
        <v>30503180404</v>
      </c>
      <c r="C113" s="36" t="s">
        <v>73</v>
      </c>
      <c r="D113" s="28">
        <v>13273435</v>
      </c>
      <c r="E113" s="28">
        <v>11232083</v>
      </c>
    </row>
    <row r="114" spans="1:5">
      <c r="A114" s="36"/>
      <c r="B114" s="36"/>
      <c r="C114" s="36" t="s">
        <v>74</v>
      </c>
      <c r="D114" s="28">
        <v>121914729</v>
      </c>
      <c r="E114" s="28">
        <v>128685090</v>
      </c>
    </row>
    <row r="115" spans="1:5">
      <c r="A115" s="36" t="s">
        <v>239</v>
      </c>
      <c r="B115" s="36">
        <v>30503180405</v>
      </c>
      <c r="C115" s="36" t="s">
        <v>75</v>
      </c>
      <c r="D115" s="28">
        <v>0</v>
      </c>
      <c r="E115" s="28">
        <v>0</v>
      </c>
    </row>
    <row r="116" spans="1:5">
      <c r="A116" s="36" t="s">
        <v>238</v>
      </c>
      <c r="B116" s="36">
        <v>30503180406</v>
      </c>
      <c r="C116" s="36" t="s">
        <v>76</v>
      </c>
      <c r="D116" s="28">
        <v>11540528</v>
      </c>
      <c r="E116" s="28">
        <v>40328640</v>
      </c>
    </row>
    <row r="117" spans="1:5">
      <c r="A117" s="36" t="s">
        <v>240</v>
      </c>
      <c r="B117" s="36">
        <v>30503180407</v>
      </c>
      <c r="C117" s="36" t="s">
        <v>77</v>
      </c>
      <c r="D117" s="28">
        <v>110374201</v>
      </c>
      <c r="E117" s="28">
        <v>88356450</v>
      </c>
    </row>
    <row r="118" spans="1:5" ht="18.75">
      <c r="A118" s="36"/>
      <c r="B118" s="36"/>
      <c r="C118" s="37" t="s">
        <v>78</v>
      </c>
      <c r="D118" s="28">
        <v>6278669567</v>
      </c>
      <c r="E118" s="28">
        <v>5328142917</v>
      </c>
    </row>
    <row r="119" spans="1:5">
      <c r="A119" s="36"/>
      <c r="B119" s="36"/>
      <c r="C119" s="36" t="s">
        <v>11</v>
      </c>
      <c r="D119" s="28">
        <v>0</v>
      </c>
      <c r="E119" s="28"/>
    </row>
    <row r="120" spans="1:5">
      <c r="A120" s="36" t="s">
        <v>247</v>
      </c>
      <c r="B120" s="36">
        <v>305061804</v>
      </c>
      <c r="C120" s="36" t="s">
        <v>79</v>
      </c>
      <c r="D120" s="28">
        <v>0</v>
      </c>
      <c r="E120" s="28"/>
    </row>
    <row r="121" spans="1:5">
      <c r="A121" s="36" t="s">
        <v>248</v>
      </c>
      <c r="B121" s="36">
        <v>30506180401</v>
      </c>
      <c r="C121" s="36" t="s">
        <v>80</v>
      </c>
      <c r="D121" s="28">
        <v>0</v>
      </c>
      <c r="E121" s="28"/>
    </row>
    <row r="122" spans="1:5">
      <c r="A122" s="36" t="s">
        <v>249</v>
      </c>
      <c r="B122" s="36">
        <v>30506180402</v>
      </c>
      <c r="C122" s="36" t="s">
        <v>81</v>
      </c>
      <c r="D122" s="28">
        <v>0</v>
      </c>
      <c r="E122" s="28"/>
    </row>
    <row r="123" spans="1:5">
      <c r="A123" s="36"/>
      <c r="B123" s="36"/>
      <c r="C123" s="36" t="s">
        <v>82</v>
      </c>
      <c r="D123" s="28">
        <v>0</v>
      </c>
      <c r="E123" s="28">
        <v>0</v>
      </c>
    </row>
    <row r="124" spans="1:5">
      <c r="A124" s="36"/>
      <c r="B124" s="36"/>
      <c r="C124" s="36" t="s">
        <v>83</v>
      </c>
      <c r="D124" s="28"/>
      <c r="E124" s="28"/>
    </row>
    <row r="125" spans="1:5">
      <c r="A125" s="36" t="s">
        <v>241</v>
      </c>
      <c r="B125" s="36">
        <v>30507180401</v>
      </c>
      <c r="C125" s="36" t="s">
        <v>14</v>
      </c>
      <c r="D125" s="28">
        <v>479221414</v>
      </c>
      <c r="E125" s="28">
        <v>458880200</v>
      </c>
    </row>
    <row r="126" spans="1:5">
      <c r="A126" s="36" t="s">
        <v>242</v>
      </c>
      <c r="B126" s="36">
        <v>30507180402</v>
      </c>
      <c r="C126" s="36" t="s">
        <v>15</v>
      </c>
      <c r="D126" s="28">
        <v>157710069</v>
      </c>
      <c r="E126" s="28">
        <v>1415934909</v>
      </c>
    </row>
    <row r="127" spans="1:5">
      <c r="A127" s="36" t="s">
        <v>243</v>
      </c>
      <c r="B127" s="36">
        <v>30507180403</v>
      </c>
      <c r="C127" s="36" t="s">
        <v>16</v>
      </c>
      <c r="D127" s="28">
        <v>455030000</v>
      </c>
      <c r="E127" s="28">
        <v>443115633</v>
      </c>
    </row>
    <row r="128" spans="1:5">
      <c r="A128" s="36" t="s">
        <v>244</v>
      </c>
      <c r="B128" s="36">
        <v>30507180404</v>
      </c>
      <c r="C128" s="36" t="s">
        <v>17</v>
      </c>
      <c r="D128" s="28">
        <v>0</v>
      </c>
      <c r="E128" s="28">
        <v>0</v>
      </c>
    </row>
    <row r="129" spans="1:5">
      <c r="A129" s="36" t="s">
        <v>245</v>
      </c>
      <c r="B129" s="36">
        <v>30507180405</v>
      </c>
      <c r="C129" s="36" t="s">
        <v>18</v>
      </c>
      <c r="D129" s="28">
        <v>0</v>
      </c>
      <c r="E129" s="28">
        <v>540422545</v>
      </c>
    </row>
    <row r="130" spans="1:5">
      <c r="A130" s="36" t="s">
        <v>246</v>
      </c>
      <c r="B130" s="36">
        <v>30507180406</v>
      </c>
      <c r="C130" s="36" t="s">
        <v>19</v>
      </c>
      <c r="D130" s="28">
        <v>169525000</v>
      </c>
      <c r="E130" s="28">
        <v>1132888525</v>
      </c>
    </row>
    <row r="131" spans="1:5">
      <c r="A131" s="36"/>
      <c r="B131" s="36">
        <v>30507180407</v>
      </c>
      <c r="C131" s="36" t="s">
        <v>316</v>
      </c>
      <c r="D131" s="28">
        <v>0</v>
      </c>
      <c r="E131" s="28"/>
    </row>
    <row r="132" spans="1:5">
      <c r="A132" s="36"/>
      <c r="B132" s="36">
        <v>30507180408</v>
      </c>
      <c r="C132" s="36" t="s">
        <v>317</v>
      </c>
      <c r="D132" s="28">
        <v>60300012</v>
      </c>
      <c r="E132" s="28"/>
    </row>
    <row r="133" spans="1:5">
      <c r="A133" s="36"/>
      <c r="B133" s="36">
        <v>30507180409</v>
      </c>
      <c r="C133" s="36" t="s">
        <v>318</v>
      </c>
      <c r="D133" s="28">
        <v>152600000</v>
      </c>
      <c r="E133" s="28"/>
    </row>
    <row r="134" spans="1:5">
      <c r="A134" s="36"/>
      <c r="B134" s="36">
        <v>30507180410</v>
      </c>
      <c r="C134" s="36" t="s">
        <v>16</v>
      </c>
      <c r="D134" s="28">
        <v>273900000</v>
      </c>
      <c r="E134" s="28"/>
    </row>
    <row r="135" spans="1:5">
      <c r="A135" s="36"/>
      <c r="B135" s="36">
        <v>30507180411</v>
      </c>
      <c r="C135" s="36" t="s">
        <v>319</v>
      </c>
      <c r="D135" s="28">
        <v>221886025</v>
      </c>
      <c r="E135" s="28"/>
    </row>
    <row r="136" spans="1:5" ht="18.75">
      <c r="A136" s="36"/>
      <c r="B136" s="60"/>
      <c r="C136" s="37" t="s">
        <v>84</v>
      </c>
      <c r="D136" s="59">
        <v>1970172520</v>
      </c>
      <c r="E136" s="59">
        <v>3991241812</v>
      </c>
    </row>
    <row r="137" spans="1:5" ht="18.75">
      <c r="A137" s="36"/>
      <c r="B137" s="77" t="s">
        <v>86</v>
      </c>
      <c r="C137" s="78"/>
      <c r="D137" s="59">
        <v>8248842087</v>
      </c>
      <c r="E137" s="59">
        <v>9319384729</v>
      </c>
    </row>
  </sheetData>
  <mergeCells count="13">
    <mergeCell ref="B137:C137"/>
    <mergeCell ref="D62:D63"/>
    <mergeCell ref="E62:E63"/>
    <mergeCell ref="B60:C60"/>
    <mergeCell ref="D1:D2"/>
    <mergeCell ref="E1:E2"/>
    <mergeCell ref="F1:F2"/>
    <mergeCell ref="A62:A63"/>
    <mergeCell ref="B62:B63"/>
    <mergeCell ref="C62:C63"/>
    <mergeCell ref="A1:A2"/>
    <mergeCell ref="B1:B2"/>
    <mergeCell ref="C1:C2"/>
  </mergeCells>
  <pageMargins left="1.5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gastos</vt:lpstr>
      <vt:lpstr>ingresos</vt:lpstr>
      <vt:lpstr>COMPARATIVO 2015-2016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FINANCIERA1</dc:creator>
  <cp:lastModifiedBy>FINANCIERA1</cp:lastModifiedBy>
  <cp:lastPrinted>2017-02-10T18:35:11Z</cp:lastPrinted>
  <dcterms:created xsi:type="dcterms:W3CDTF">2015-08-26T19:58:41Z</dcterms:created>
  <dcterms:modified xsi:type="dcterms:W3CDTF">2017-02-14T20:32:53Z</dcterms:modified>
</cp:coreProperties>
</file>