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95" windowHeight="7935" activeTab="2"/>
  </bookViews>
  <sheets>
    <sheet name="Hoja1" sheetId="1" r:id="rId1"/>
    <sheet name="ingresos" sheetId="2" r:id="rId2"/>
    <sheet name="gastos" sheetId="3" r:id="rId3"/>
  </sheets>
  <definedNames>
    <definedName name="_xlnm.Print_Area" localSheetId="2">gastos!$A$1:$R$76</definedName>
    <definedName name="_xlnm.Print_Area" localSheetId="0">Hoja1!$A$3:$B$32</definedName>
    <definedName name="_xlnm.Print_Area" localSheetId="1">ingresos!$A$1:$R$64</definedName>
    <definedName name="_xlnm.Print_Titles" localSheetId="2">gastos!$1:$5</definedName>
  </definedNames>
  <calcPr calcId="125725"/>
</workbook>
</file>

<file path=xl/calcChain.xml><?xml version="1.0" encoding="utf-8"?>
<calcChain xmlns="http://schemas.openxmlformats.org/spreadsheetml/2006/main">
  <c r="T74" i="3"/>
  <c r="T73"/>
  <c r="T72"/>
  <c r="T71"/>
  <c r="T70"/>
  <c r="T69"/>
  <c r="T66"/>
  <c r="T65"/>
  <c r="T60"/>
  <c r="T59"/>
  <c r="T58"/>
  <c r="T56"/>
  <c r="T55"/>
  <c r="T54"/>
  <c r="T53"/>
  <c r="T50"/>
  <c r="T49"/>
  <c r="T48"/>
  <c r="T47"/>
  <c r="T46"/>
  <c r="T45"/>
  <c r="T44"/>
  <c r="T43"/>
  <c r="T42"/>
  <c r="T40"/>
  <c r="T39"/>
  <c r="T38"/>
  <c r="T37"/>
  <c r="T36"/>
  <c r="T35"/>
  <c r="T32"/>
  <c r="T30"/>
  <c r="T29"/>
  <c r="T28"/>
  <c r="T26"/>
  <c r="T24"/>
  <c r="T23"/>
  <c r="T22"/>
  <c r="T21"/>
  <c r="T19"/>
  <c r="T17"/>
  <c r="T16"/>
  <c r="T15"/>
  <c r="T14"/>
  <c r="T13"/>
  <c r="T12"/>
  <c r="T11"/>
  <c r="T10"/>
  <c r="R62" i="2"/>
  <c r="R61"/>
  <c r="R55"/>
  <c r="R54"/>
  <c r="R53"/>
  <c r="R48" l="1"/>
  <c r="R47"/>
  <c r="R46"/>
  <c r="R45"/>
  <c r="R44"/>
  <c r="R43"/>
  <c r="R41"/>
  <c r="R39"/>
  <c r="R38"/>
  <c r="R37"/>
  <c r="R36"/>
  <c r="R35"/>
  <c r="R34"/>
  <c r="R33"/>
  <c r="R32"/>
  <c r="R31"/>
  <c r="R27"/>
  <c r="R24"/>
  <c r="R22"/>
  <c r="R21"/>
  <c r="R19"/>
  <c r="R18"/>
  <c r="R16"/>
  <c r="R15"/>
  <c r="R11"/>
  <c r="R8"/>
  <c r="Q63"/>
  <c r="Q28"/>
  <c r="Q51" s="1"/>
  <c r="Q64" s="1"/>
  <c r="D21" i="3"/>
  <c r="E9"/>
  <c r="D60"/>
  <c r="D42"/>
  <c r="D36"/>
  <c r="E53"/>
  <c r="E8" i="2"/>
  <c r="S34" i="3" l="1"/>
  <c r="R34"/>
  <c r="K34"/>
  <c r="J34"/>
  <c r="I34"/>
  <c r="H34"/>
  <c r="S31"/>
  <c r="R75"/>
  <c r="R57"/>
  <c r="R52"/>
  <c r="Q52"/>
  <c r="R41"/>
  <c r="R31"/>
  <c r="R27" s="1"/>
  <c r="S75"/>
  <c r="H52"/>
  <c r="S57"/>
  <c r="S52"/>
  <c r="S41"/>
  <c r="S25"/>
  <c r="S20"/>
  <c r="S8"/>
  <c r="R25"/>
  <c r="R20"/>
  <c r="R8"/>
  <c r="P50" i="2"/>
  <c r="P51" s="1"/>
  <c r="P63"/>
  <c r="E55" i="3"/>
  <c r="S27" l="1"/>
  <c r="T20"/>
  <c r="R62"/>
  <c r="R76" s="1"/>
  <c r="S62"/>
  <c r="S76" s="1"/>
  <c r="P64" i="2"/>
  <c r="O17"/>
  <c r="R17" s="1"/>
  <c r="O63"/>
  <c r="Q34" i="3"/>
  <c r="O14" i="2" l="1"/>
  <c r="O13"/>
  <c r="Q75" i="3"/>
  <c r="Q8"/>
  <c r="Q20"/>
  <c r="Q25"/>
  <c r="Q27"/>
  <c r="Q41"/>
  <c r="Q57"/>
  <c r="Q62" l="1"/>
  <c r="Q76" s="1"/>
  <c r="O12" i="2" l="1"/>
  <c r="O51" s="1"/>
  <c r="O64" s="1"/>
  <c r="N13"/>
  <c r="N59"/>
  <c r="N28" l="1"/>
  <c r="N42"/>
  <c r="R42" s="1"/>
  <c r="N58"/>
  <c r="R58" s="1"/>
  <c r="N14"/>
  <c r="N12" l="1"/>
  <c r="N49"/>
  <c r="R49" s="1"/>
  <c r="N51" l="1"/>
  <c r="G21" i="3"/>
  <c r="G43"/>
  <c r="G71"/>
  <c r="N56" i="2" l="1"/>
  <c r="N63" s="1"/>
  <c r="N64" s="1"/>
  <c r="E40" i="3"/>
  <c r="E18"/>
  <c r="P27"/>
  <c r="P75"/>
  <c r="P57"/>
  <c r="P52"/>
  <c r="P41"/>
  <c r="P34"/>
  <c r="P25"/>
  <c r="P20"/>
  <c r="P8"/>
  <c r="H8"/>
  <c r="P62" l="1"/>
  <c r="P76" s="1"/>
  <c r="O75"/>
  <c r="N75"/>
  <c r="O57"/>
  <c r="N57"/>
  <c r="O52"/>
  <c r="N52"/>
  <c r="O41"/>
  <c r="N41"/>
  <c r="O34"/>
  <c r="N34"/>
  <c r="M34"/>
  <c r="N27"/>
  <c r="O25"/>
  <c r="N25"/>
  <c r="O20"/>
  <c r="N20"/>
  <c r="O8"/>
  <c r="N8"/>
  <c r="M31"/>
  <c r="M60" i="2"/>
  <c r="N62" i="3" l="1"/>
  <c r="N76" s="1"/>
  <c r="O27"/>
  <c r="O62" s="1"/>
  <c r="O76" s="1"/>
  <c r="M12" i="2" l="1"/>
  <c r="M51" s="1"/>
  <c r="M59"/>
  <c r="M63" s="1"/>
  <c r="M28"/>
  <c r="L59"/>
  <c r="L56"/>
  <c r="L57"/>
  <c r="L29"/>
  <c r="L10"/>
  <c r="R59" l="1"/>
  <c r="L51"/>
  <c r="L63"/>
  <c r="M64"/>
  <c r="D63"/>
  <c r="D22" i="3"/>
  <c r="E62" i="2"/>
  <c r="E61"/>
  <c r="E60"/>
  <c r="E59"/>
  <c r="E58"/>
  <c r="E57"/>
  <c r="E56"/>
  <c r="E55"/>
  <c r="E54"/>
  <c r="E53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K57"/>
  <c r="K13"/>
  <c r="K10"/>
  <c r="K56"/>
  <c r="L64" l="1"/>
  <c r="K63"/>
  <c r="K50"/>
  <c r="R50" s="1"/>
  <c r="K29"/>
  <c r="K28"/>
  <c r="K26"/>
  <c r="K25"/>
  <c r="R25" s="1"/>
  <c r="K51" l="1"/>
  <c r="K64" s="1"/>
  <c r="M57" i="3" l="1"/>
  <c r="M52"/>
  <c r="M41"/>
  <c r="M27"/>
  <c r="M25"/>
  <c r="M20"/>
  <c r="M8"/>
  <c r="M62" l="1"/>
  <c r="M75"/>
  <c r="M76" l="1"/>
  <c r="J26" i="2"/>
  <c r="R26" s="1"/>
  <c r="J56"/>
  <c r="J63" s="1"/>
  <c r="J23"/>
  <c r="J12"/>
  <c r="J10"/>
  <c r="I57"/>
  <c r="R57" s="1"/>
  <c r="J28"/>
  <c r="R28" s="1"/>
  <c r="I29"/>
  <c r="J29"/>
  <c r="I13"/>
  <c r="R13" s="1"/>
  <c r="I23"/>
  <c r="R23" s="1"/>
  <c r="I12"/>
  <c r="R12" s="1"/>
  <c r="L20" i="3"/>
  <c r="K20"/>
  <c r="J20"/>
  <c r="L57"/>
  <c r="L52"/>
  <c r="L41"/>
  <c r="L34"/>
  <c r="T57"/>
  <c r="T52"/>
  <c r="T41"/>
  <c r="T25"/>
  <c r="L75"/>
  <c r="K75"/>
  <c r="K31"/>
  <c r="T31" s="1"/>
  <c r="L31"/>
  <c r="L27" s="1"/>
  <c r="K57"/>
  <c r="K52"/>
  <c r="K41"/>
  <c r="L25"/>
  <c r="K25"/>
  <c r="I10" i="2"/>
  <c r="F57" i="3"/>
  <c r="E57"/>
  <c r="D57"/>
  <c r="F52"/>
  <c r="E52"/>
  <c r="D52"/>
  <c r="F41"/>
  <c r="E41"/>
  <c r="D41"/>
  <c r="F34"/>
  <c r="E34"/>
  <c r="D34"/>
  <c r="F27"/>
  <c r="E27"/>
  <c r="D27"/>
  <c r="F25"/>
  <c r="E25"/>
  <c r="D25"/>
  <c r="F20"/>
  <c r="E20"/>
  <c r="D20"/>
  <c r="F8"/>
  <c r="E8"/>
  <c r="D8"/>
  <c r="L18"/>
  <c r="T18" s="1"/>
  <c r="L9"/>
  <c r="K9"/>
  <c r="T9" s="1"/>
  <c r="R29" i="2" l="1"/>
  <c r="T27" i="3"/>
  <c r="L8"/>
  <c r="T8"/>
  <c r="I63" i="2"/>
  <c r="K27" i="3"/>
  <c r="J51" i="2"/>
  <c r="J64" s="1"/>
  <c r="K8" i="3"/>
  <c r="D62"/>
  <c r="F62"/>
  <c r="T34"/>
  <c r="I51" i="2"/>
  <c r="L62" i="3"/>
  <c r="L76" s="1"/>
  <c r="E62"/>
  <c r="T75"/>
  <c r="J75"/>
  <c r="I75"/>
  <c r="H75"/>
  <c r="F75"/>
  <c r="E75"/>
  <c r="D75"/>
  <c r="C75"/>
  <c r="G74"/>
  <c r="U74" s="1"/>
  <c r="G73"/>
  <c r="U73" s="1"/>
  <c r="G72"/>
  <c r="U72" s="1"/>
  <c r="U71"/>
  <c r="G70"/>
  <c r="U70" s="1"/>
  <c r="G69"/>
  <c r="U66"/>
  <c r="U65"/>
  <c r="F76" l="1"/>
  <c r="K62"/>
  <c r="K76" s="1"/>
  <c r="I64" i="2"/>
  <c r="G75" i="3"/>
  <c r="U69"/>
  <c r="U75" l="1"/>
  <c r="E76"/>
  <c r="D76" s="1"/>
  <c r="G60"/>
  <c r="U60" s="1"/>
  <c r="G59"/>
  <c r="U59" s="1"/>
  <c r="G58"/>
  <c r="U58" s="1"/>
  <c r="J57"/>
  <c r="I57"/>
  <c r="H57"/>
  <c r="C57"/>
  <c r="G56"/>
  <c r="G55"/>
  <c r="G54"/>
  <c r="G53"/>
  <c r="J52"/>
  <c r="I52"/>
  <c r="C52"/>
  <c r="G50"/>
  <c r="U50" s="1"/>
  <c r="G49"/>
  <c r="G48"/>
  <c r="G47"/>
  <c r="G46"/>
  <c r="G45"/>
  <c r="G44"/>
  <c r="G42"/>
  <c r="U42" s="1"/>
  <c r="J41"/>
  <c r="I41"/>
  <c r="H41"/>
  <c r="C41"/>
  <c r="G40"/>
  <c r="G39"/>
  <c r="G38"/>
  <c r="G37"/>
  <c r="G36"/>
  <c r="G35"/>
  <c r="C34"/>
  <c r="G32"/>
  <c r="G31"/>
  <c r="G30"/>
  <c r="G29"/>
  <c r="G28"/>
  <c r="J27"/>
  <c r="I27"/>
  <c r="H27"/>
  <c r="C27"/>
  <c r="G26"/>
  <c r="J25"/>
  <c r="I25"/>
  <c r="H25"/>
  <c r="G25"/>
  <c r="C25"/>
  <c r="G24"/>
  <c r="G23"/>
  <c r="G22"/>
  <c r="U22" s="1"/>
  <c r="U21"/>
  <c r="I20"/>
  <c r="H20"/>
  <c r="C20"/>
  <c r="G19"/>
  <c r="G18"/>
  <c r="U18" s="1"/>
  <c r="G17"/>
  <c r="G16"/>
  <c r="U16" s="1"/>
  <c r="G15"/>
  <c r="G14"/>
  <c r="G13"/>
  <c r="G12"/>
  <c r="U12" s="1"/>
  <c r="G11"/>
  <c r="G10"/>
  <c r="U10" s="1"/>
  <c r="G9"/>
  <c r="J8"/>
  <c r="I8"/>
  <c r="C8"/>
  <c r="U31" l="1"/>
  <c r="U26"/>
  <c r="U25" s="1"/>
  <c r="C62"/>
  <c r="C76" s="1"/>
  <c r="U30"/>
  <c r="U36"/>
  <c r="U40"/>
  <c r="U35"/>
  <c r="U39"/>
  <c r="U48"/>
  <c r="U55"/>
  <c r="U23"/>
  <c r="G27"/>
  <c r="G57"/>
  <c r="U19"/>
  <c r="U43"/>
  <c r="U47"/>
  <c r="U9"/>
  <c r="U15"/>
  <c r="I62"/>
  <c r="U29"/>
  <c r="G34"/>
  <c r="U38"/>
  <c r="U46"/>
  <c r="U54"/>
  <c r="U11"/>
  <c r="U17"/>
  <c r="G20"/>
  <c r="U24"/>
  <c r="H62"/>
  <c r="U28"/>
  <c r="U32"/>
  <c r="U37"/>
  <c r="U45"/>
  <c r="U49"/>
  <c r="U53"/>
  <c r="J62"/>
  <c r="G52"/>
  <c r="U56"/>
  <c r="U13"/>
  <c r="G41"/>
  <c r="U44"/>
  <c r="G8"/>
  <c r="U14"/>
  <c r="T62"/>
  <c r="U57"/>
  <c r="G63" i="2"/>
  <c r="C63"/>
  <c r="E63" s="1"/>
  <c r="F60"/>
  <c r="R60" s="1"/>
  <c r="H56"/>
  <c r="H63" s="1"/>
  <c r="F56"/>
  <c r="D51"/>
  <c r="C51"/>
  <c r="H40"/>
  <c r="R40" s="1"/>
  <c r="H30"/>
  <c r="R30" s="1"/>
  <c r="H20"/>
  <c r="R20" s="1"/>
  <c r="H14"/>
  <c r="F14"/>
  <c r="H10"/>
  <c r="G10"/>
  <c r="R10" s="1"/>
  <c r="R14" l="1"/>
  <c r="R56"/>
  <c r="R63" s="1"/>
  <c r="E51"/>
  <c r="E64" s="1"/>
  <c r="G51"/>
  <c r="G64" s="1"/>
  <c r="H51"/>
  <c r="H64" s="1"/>
  <c r="F51"/>
  <c r="F63"/>
  <c r="G62" i="3"/>
  <c r="U20"/>
  <c r="U27"/>
  <c r="D64" i="2"/>
  <c r="U52" i="3"/>
  <c r="U34"/>
  <c r="U41"/>
  <c r="U8"/>
  <c r="B25" i="1"/>
  <c r="F64" i="2" l="1"/>
  <c r="U62" i="3"/>
  <c r="U76" s="1"/>
  <c r="R51" i="2"/>
  <c r="C64"/>
  <c r="R64" l="1"/>
  <c r="T76" i="3"/>
  <c r="J76" s="1"/>
  <c r="I76" s="1"/>
  <c r="H76" s="1"/>
  <c r="G76" s="1"/>
  <c r="B9" i="1"/>
  <c r="B6"/>
  <c r="B15" l="1"/>
  <c r="B32" s="1"/>
</calcChain>
</file>

<file path=xl/sharedStrings.xml><?xml version="1.0" encoding="utf-8"?>
<sst xmlns="http://schemas.openxmlformats.org/spreadsheetml/2006/main" count="251" uniqueCount="228">
  <si>
    <t>INSPECCION DE TRANSITO Y TRANSPORTE DE BARRANCABERMEJA</t>
  </si>
  <si>
    <t>INGRESOS CORRIENTES</t>
  </si>
  <si>
    <t>INGRESOS TRIBUTARIOS</t>
  </si>
  <si>
    <t>INGRESOS NO TRIBUTARIOS</t>
  </si>
  <si>
    <t>RECURSOS DE CAPITAL</t>
  </si>
  <si>
    <t>RECURSOS DEL CREDITO</t>
  </si>
  <si>
    <t>RECURSOS DEL BALANCE</t>
  </si>
  <si>
    <t>RECUPERACION DE CARTERA</t>
  </si>
  <si>
    <t>RENDIMIENTO FINANCIERO</t>
  </si>
  <si>
    <t>VENTA ACTIVOS</t>
  </si>
  <si>
    <t>GASTOS DE FUNCIONAMIENTO</t>
  </si>
  <si>
    <t>DEUDA PUBLICA</t>
  </si>
  <si>
    <t>INVERSION:          MOVILIDAD Y TRANSPORTE PARA UNA ACCESIBILIDAD SEGURA Y EFICIENTE</t>
  </si>
  <si>
    <t>FUENTE:                RECURSOS PROPIOS</t>
  </si>
  <si>
    <t>MODERNIZACION Y MANTENIMIENTO RED SEMAFORIZACION</t>
  </si>
  <si>
    <t>SEÑALIZACION PARA MOVILIDAD EFICIENTE Y SEGURA</t>
  </si>
  <si>
    <t>CULTURA DE LA MOVILIDAD SEGURA</t>
  </si>
  <si>
    <t>PLAN MAESTRO DE  MOVILIDAD Y TRANSPORTE</t>
  </si>
  <si>
    <t>SERVICIO DE TRANSPORTE PUBLICO DE CALIDAD</t>
  </si>
  <si>
    <t>FORTALECIMIENTO INSTITUCIONAL</t>
  </si>
  <si>
    <t>2015</t>
  </si>
  <si>
    <t>PROYECTO PRESUPUESTO DE INGRESOS VIGENCIA 2.015</t>
  </si>
  <si>
    <t>PROYECTO PRESUPUESTO DE GASTOS VIGENCIA 2.015</t>
  </si>
  <si>
    <t>TOTAL PRESUPUESTO VIGENCIA 2.015</t>
  </si>
  <si>
    <t>CODIGO</t>
  </si>
  <si>
    <t>DETALLE</t>
  </si>
  <si>
    <t>1.1.1</t>
  </si>
  <si>
    <t>IMP. SOBRE VEHICULOS AUTOMOTORES</t>
  </si>
  <si>
    <t>1.2.1</t>
  </si>
  <si>
    <t>MULTAS</t>
  </si>
  <si>
    <t>1.2.2</t>
  </si>
  <si>
    <t>LICENCIA DE CONDUCION</t>
  </si>
  <si>
    <t>1.2.3</t>
  </si>
  <si>
    <t>1.2.4</t>
  </si>
  <si>
    <t xml:space="preserve">FACTURACION </t>
  </si>
  <si>
    <t>1.2.5</t>
  </si>
  <si>
    <t>AVALUOS</t>
  </si>
  <si>
    <t>1.2.6</t>
  </si>
  <si>
    <t>LEVANTAMIENTO DE CROQUIS</t>
  </si>
  <si>
    <t>1.2.7</t>
  </si>
  <si>
    <t>SERVICIO DE GRUA</t>
  </si>
  <si>
    <t>1.2.8</t>
  </si>
  <si>
    <t xml:space="preserve">CHEQUEOS </t>
  </si>
  <si>
    <t>1.2.9</t>
  </si>
  <si>
    <t>MATRICULAS</t>
  </si>
  <si>
    <t>1.2.10</t>
  </si>
  <si>
    <t>PORTE Y TELEGRAMAS</t>
  </si>
  <si>
    <t>1.2.11</t>
  </si>
  <si>
    <t>PORTE DE PLACAS</t>
  </si>
  <si>
    <t>1.2.12</t>
  </si>
  <si>
    <t>TRASPASO</t>
  </si>
  <si>
    <t>1.2.13</t>
  </si>
  <si>
    <t>RADICACION DE CUENTA</t>
  </si>
  <si>
    <t>1.2.14</t>
  </si>
  <si>
    <t>CERTIFICACIONES</t>
  </si>
  <si>
    <t>1.2.15</t>
  </si>
  <si>
    <t>GARAJE Y PARQUEO</t>
  </si>
  <si>
    <t>1.2.16</t>
  </si>
  <si>
    <t>CAMBIO DE SERVICIO</t>
  </si>
  <si>
    <t>1.2.17</t>
  </si>
  <si>
    <t>EMBARGOS Y DESEMBARGOS</t>
  </si>
  <si>
    <t>1.2.18</t>
  </si>
  <si>
    <t>SERVICIO DE ALFEREZ</t>
  </si>
  <si>
    <t>1.2.19</t>
  </si>
  <si>
    <t>PIGNORACION-DESPIGNORACION</t>
  </si>
  <si>
    <t>1.2.20</t>
  </si>
  <si>
    <t>CAMBIO DE CARACTERISTICAS</t>
  </si>
  <si>
    <t>1.2.21</t>
  </si>
  <si>
    <t>DUPLICADO DE LICENCIAS</t>
  </si>
  <si>
    <t>1.2.22</t>
  </si>
  <si>
    <t>REGRABACION DE MOTOR</t>
  </si>
  <si>
    <t>1.2.23</t>
  </si>
  <si>
    <t>CAMBIO DE COLOR</t>
  </si>
  <si>
    <t>1.2.24</t>
  </si>
  <si>
    <t>PRUEBA DE ALCOHOLEMIA</t>
  </si>
  <si>
    <t>1.2.25</t>
  </si>
  <si>
    <t>DUPLICADO DE PLACAS</t>
  </si>
  <si>
    <t>1.2.26</t>
  </si>
  <si>
    <t>CAMBIO DE PLACAS</t>
  </si>
  <si>
    <t>1.2.27</t>
  </si>
  <si>
    <t>CAMBIO DE EMPRESA</t>
  </si>
  <si>
    <t>1.2.28</t>
  </si>
  <si>
    <t>CAPACIDAD TRANSPORTADORA DISP.</t>
  </si>
  <si>
    <t>1.2.29</t>
  </si>
  <si>
    <t>TARJETA DE OPERACION</t>
  </si>
  <si>
    <t>1.2.30</t>
  </si>
  <si>
    <t>EXPETICIO TECNICO</t>
  </si>
  <si>
    <t>1.2.31</t>
  </si>
  <si>
    <t>FOTOCOPIAS CERTIFICACIONES</t>
  </si>
  <si>
    <t>1.2.32</t>
  </si>
  <si>
    <t>INTERESES MORATORIOS</t>
  </si>
  <si>
    <t>1.2.33</t>
  </si>
  <si>
    <t>REFACTURACION</t>
  </si>
  <si>
    <t>1.2.34</t>
  </si>
  <si>
    <t>SIN PENDIENTE</t>
  </si>
  <si>
    <t>1.2.35</t>
  </si>
  <si>
    <t>CONVENIOS</t>
  </si>
  <si>
    <t>1.2.38</t>
  </si>
  <si>
    <t>REPOTENCIACIÓN</t>
  </si>
  <si>
    <t>1.2.39</t>
  </si>
  <si>
    <t>CANCELACION MATRICULA</t>
  </si>
  <si>
    <t>1.2.40</t>
  </si>
  <si>
    <t>DEMARCACIONES</t>
  </si>
  <si>
    <t>1.2.41</t>
  </si>
  <si>
    <t>F.U.N.</t>
  </si>
  <si>
    <t>1.2.42</t>
  </si>
  <si>
    <t>REGISTROS</t>
  </si>
  <si>
    <t>1.2.43</t>
  </si>
  <si>
    <t>OTROS INGRESOS</t>
  </si>
  <si>
    <t>TOTAL INGRESOS CORRIENTES DE LA I.T.T.B</t>
  </si>
  <si>
    <t>RECURSOS DEL CAPITAL</t>
  </si>
  <si>
    <t>TOTAL INGRESOS CAPITAL DE LA I.T.T.B</t>
  </si>
  <si>
    <t xml:space="preserve">CONCEPTO </t>
  </si>
  <si>
    <t xml:space="preserve">SERVICIOS PERSONALES </t>
  </si>
  <si>
    <t>SERVICIOS PERSONALES ASOCIADOS A LA NOMINA</t>
  </si>
  <si>
    <t>SUELDO PERSONAL DE NOMINA</t>
  </si>
  <si>
    <t>PRIMA DE NAVIDAD</t>
  </si>
  <si>
    <t>PRIMA DE VACACIONES</t>
  </si>
  <si>
    <t>INDEMNIZACION POR VACACIONES</t>
  </si>
  <si>
    <t>SUBSIDIO DE TRANSPORTE</t>
  </si>
  <si>
    <t>SEGURO DE VIDA</t>
  </si>
  <si>
    <t>JORNALES HORAS EXTRAS Y DEMAS PRES. SOCIALES</t>
  </si>
  <si>
    <t>TRABAJOS SUPLEMENTARIOS</t>
  </si>
  <si>
    <t>PRIMA DE SERVICIOS</t>
  </si>
  <si>
    <t xml:space="preserve">BONIFICACION POR SERVICIOS PRESTADOS </t>
  </si>
  <si>
    <t>BONIFICACION POR RECREACION</t>
  </si>
  <si>
    <t>SERVICIOS PERSONALES INDIRECTOS</t>
  </si>
  <si>
    <t>REMUNERACION POR SERVICIOS TECNICOS Y PROFESIONALES</t>
  </si>
  <si>
    <t>PAGO PERSONAL TEMPORAL Y SUPERNUMERARIO</t>
  </si>
  <si>
    <t>OTROS GASTOS POR SERVICIOS PERSONALES</t>
  </si>
  <si>
    <t>CONTRIBUCIONES INHERENTES A LA NOMINA SECTOR PRIVADO</t>
  </si>
  <si>
    <t>CAJA DECOMPENSACIÒN FAMILIAR (4%)</t>
  </si>
  <si>
    <t>APORTES AL INST. COL. BIENESTAR FAMILIAR (3%)</t>
  </si>
  <si>
    <t>APORTES AL SENA (2%)</t>
  </si>
  <si>
    <t>APORTES A LA ESCUELA SUP. DE ADMON. PUBLICA</t>
  </si>
  <si>
    <t>APORTES A ESC. IND. E INST. TEC. DTAL. DIST. Y M/PALES</t>
  </si>
  <si>
    <t>APORTES A LA SEGURIDAD SOCIAL</t>
  </si>
  <si>
    <t>GASTOS GENERALES</t>
  </si>
  <si>
    <t>ADQUISICIÒN DE BIENES</t>
  </si>
  <si>
    <t>COMPRA DE EQUIPOS</t>
  </si>
  <si>
    <t>MATERIALES Y SUMINISTROS</t>
  </si>
  <si>
    <t>IMPRESOS Y PUBLICACIONES</t>
  </si>
  <si>
    <t>GASTOS IMPREVISTOS</t>
  </si>
  <si>
    <t>ESPECIES VENALES</t>
  </si>
  <si>
    <t>ADQUISICIÒN DE SERVICIOS</t>
  </si>
  <si>
    <t>COMUNICACIONES Y TRANSPORTE</t>
  </si>
  <si>
    <t>MANTENIMIENTO</t>
  </si>
  <si>
    <t>SEGUROS</t>
  </si>
  <si>
    <t>SERVICIOS PUBLICOS</t>
  </si>
  <si>
    <t>VIATICOS Y GASTOS DE VIAJE</t>
  </si>
  <si>
    <t xml:space="preserve">ARRENDAMIENTO DE BIENES E INMUEBLES </t>
  </si>
  <si>
    <t>GASTOS FINANCIEROS</t>
  </si>
  <si>
    <t>OTROS GASTOS GENERALES</t>
  </si>
  <si>
    <t>TRANSFERENCIAS CORRIENTES</t>
  </si>
  <si>
    <t>TRANSFERENCIAS DE PREVISIÒN Y SEGURIDAD SOCIAL</t>
  </si>
  <si>
    <t>MESADA PENSIONAL</t>
  </si>
  <si>
    <t>BONO PENSIONAL</t>
  </si>
  <si>
    <t>CESANTIAS</t>
  </si>
  <si>
    <t>INTERESES DE CESANTIAS</t>
  </si>
  <si>
    <t>OTRAS TRANSFERENCIAS CORRIENTES</t>
  </si>
  <si>
    <t>CUMP. DE SENTENCIAS TRANSACCIONES CURADURIAS</t>
  </si>
  <si>
    <t>GASTOS DE CAPACITACION BIENESTAR SOCIAL E INCENTIVOS</t>
  </si>
  <si>
    <t>PACTOS CONVENCIONALES</t>
  </si>
  <si>
    <t xml:space="preserve">TOTAL GASTOS DE FUNCIONAMIENTO </t>
  </si>
  <si>
    <t>SERVICIO DE LA DEUDA PUBLICA</t>
  </si>
  <si>
    <t>AMORTIZACIÒN DE CAPITAL</t>
  </si>
  <si>
    <t>INTERESES, COMISIONES Y DEMAS EROGACIONES DE LA DEUDA</t>
  </si>
  <si>
    <t>TOTAL DEUDA PUBLICA DE LA I.T.T.B</t>
  </si>
  <si>
    <t>GASTOS DE INVERSION</t>
  </si>
  <si>
    <t>TOTAL GASTOS DE INVERSION</t>
  </si>
  <si>
    <t xml:space="preserve"> PPTO 2015</t>
  </si>
  <si>
    <t>2.3.1</t>
  </si>
  <si>
    <t>Recuperacion cartera  comparendos</t>
  </si>
  <si>
    <t>2.3.2</t>
  </si>
  <si>
    <t>Recuperacion cartera  itereses</t>
  </si>
  <si>
    <t>2.3.3</t>
  </si>
  <si>
    <t>Recuperacion cartera honorarios costas</t>
  </si>
  <si>
    <t>2.3.4</t>
  </si>
  <si>
    <t>Recuperacion cartera porte de placas</t>
  </si>
  <si>
    <t>2.3.5</t>
  </si>
  <si>
    <t>Recuperacion cartera Sistematizacion y Facturacion</t>
  </si>
  <si>
    <t>PPTO 2015</t>
  </si>
  <si>
    <t>LEY 769 ART 160 (PROY. SEG. VIAL)</t>
  </si>
  <si>
    <t>LEY 769 ART 160 (COMBUSTIBLE-EQUIPOS-DOTACION PROY SEG VIAL)</t>
  </si>
  <si>
    <t>IMPUESTOS, TASAS, MULTAS Y REVISIONES</t>
  </si>
  <si>
    <t>TRASLADOS  PPTALES</t>
  </si>
  <si>
    <t>ADICION</t>
  </si>
  <si>
    <t>COMPROMNETIDO ENERO</t>
  </si>
  <si>
    <t>COMPROMNETIDO FEBRERO</t>
  </si>
  <si>
    <t>CREDITOS</t>
  </si>
  <si>
    <t>C.CREDITOS</t>
  </si>
  <si>
    <t xml:space="preserve"> PRESUPUESTO 
AJUSTADO 2015</t>
  </si>
  <si>
    <t>ADICION PRESUPUETAL</t>
  </si>
  <si>
    <t>PRESUPUESTO AJUSTADO</t>
  </si>
  <si>
    <t>RECAUDO ENERO 2015</t>
  </si>
  <si>
    <t>RECAUDO FEBRERO 2015</t>
  </si>
  <si>
    <t>PERMISOS</t>
  </si>
  <si>
    <t>COMPROMNETIDO MARZO</t>
  </si>
  <si>
    <t>RECAUDO MARZO 2015</t>
  </si>
  <si>
    <t>SALDO</t>
  </si>
  <si>
    <t>COMPROMNETIDO ABRIL</t>
  </si>
  <si>
    <t>COMPROMNETIDO MAYO</t>
  </si>
  <si>
    <t>RECAUDO ABRIL 2015</t>
  </si>
  <si>
    <t>RECAUDO MAYO 2015</t>
  </si>
  <si>
    <t>x</t>
  </si>
  <si>
    <t>COMPROMNETIDO JUNIO</t>
  </si>
  <si>
    <t>30502180404A</t>
  </si>
  <si>
    <t>30501180415A</t>
  </si>
  <si>
    <t>RECAUDO JUNIO 2015</t>
  </si>
  <si>
    <t>RECAUDO JULIO 2015</t>
  </si>
  <si>
    <t>COMPROMNETIDO JULIO</t>
  </si>
  <si>
    <t>RECAUDO AGOSTO 2015</t>
  </si>
  <si>
    <t>COMPROMNETIDO AGOSTO</t>
  </si>
  <si>
    <t>COMPROMNETIDO SEPTIEMBRE</t>
  </si>
  <si>
    <t>RECAUDO SEPTIEMBRE 2015</t>
  </si>
  <si>
    <t>RECAUDO OCTUBRE 2015</t>
  </si>
  <si>
    <t>COMPROMNETIDO OCTUBRE</t>
  </si>
  <si>
    <t>TOTAL PRESUPUESTO GASTOS 2015</t>
  </si>
  <si>
    <t>TOTAL PRESUPUESTO INGRESOS 2015</t>
  </si>
  <si>
    <t>COMPROMNETIDO NOVIEMBRE</t>
  </si>
  <si>
    <t>RECAUDO NOVIEMBRE 2015</t>
  </si>
  <si>
    <t>COMPROMETIDO DICIEMBRE</t>
  </si>
  <si>
    <t>EJECUCION PRESUPUESTAL</t>
  </si>
  <si>
    <t>VIGENCIA 2015</t>
  </si>
  <si>
    <t>EJECUCION PRESUPUESTAL GASTOS</t>
  </si>
  <si>
    <t>RECAUDO DICIEMBRE 2015</t>
  </si>
  <si>
    <t>RECAUDO ENERO DICIEMBRE</t>
  </si>
  <si>
    <t>ACUMULADO ENERO - DICIEMBRE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</si>
</sst>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 * #,##0_ ;_ * \-#,##0_ ;_ * &quot;-&quot;??_ ;_ @_ "/>
    <numFmt numFmtId="166" formatCode="_(* #,##0_);_(* \(#,##0\);_(* &quot;-&quot;??_);_(@_)"/>
    <numFmt numFmtId="167" formatCode="_ * #,##0.00_ ;_ * \-#,##0.00_ ;_ * &quot;-&quot;??_ ;_ @_ "/>
    <numFmt numFmtId="168" formatCode="_(&quot;$&quot;* #,##0_);_(&quot;$&quot;* \(#,##0\);_(&quot;$&quot;* &quot;-&quot;??_);_(@_)"/>
    <numFmt numFmtId="169" formatCode="_(* #,##0.0000_);_(* \(#,##0.00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6"/>
      <name val="Bernard MT Condensed"/>
      <family val="1"/>
    </font>
    <font>
      <sz val="10"/>
      <name val="Arial Black"/>
      <family val="2"/>
    </font>
    <font>
      <sz val="8"/>
      <name val="Arial"/>
      <family val="2"/>
    </font>
    <font>
      <b/>
      <sz val="12"/>
      <name val="Arial Rounded MT Bold"/>
      <family val="2"/>
    </font>
    <font>
      <sz val="8"/>
      <name val="Arial Black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 Black"/>
      <family val="2"/>
    </font>
    <font>
      <sz val="12"/>
      <name val="Arial Black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6" fillId="2" borderId="1" xfId="0" applyFont="1" applyFill="1" applyBorder="1"/>
    <xf numFmtId="4" fontId="6" fillId="2" borderId="1" xfId="0" applyNumberFormat="1" applyFont="1" applyFill="1" applyBorder="1"/>
    <xf numFmtId="0" fontId="3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0" fontId="5" fillId="3" borderId="1" xfId="0" applyFont="1" applyFill="1" applyBorder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left"/>
    </xf>
    <xf numFmtId="0" fontId="0" fillId="3" borderId="0" xfId="0" applyFill="1"/>
    <xf numFmtId="164" fontId="5" fillId="3" borderId="1" xfId="1" applyNumberFormat="1" applyFont="1" applyFill="1" applyBorder="1" applyAlignment="1">
      <alignment horizontal="left"/>
    </xf>
    <xf numFmtId="4" fontId="10" fillId="3" borderId="1" xfId="0" applyNumberFormat="1" applyFont="1" applyFill="1" applyBorder="1"/>
    <xf numFmtId="49" fontId="11" fillId="3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13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" fontId="14" fillId="0" borderId="1" xfId="0" applyNumberFormat="1" applyFont="1" applyBorder="1"/>
    <xf numFmtId="0" fontId="0" fillId="2" borderId="1" xfId="0" applyFill="1" applyBorder="1"/>
    <xf numFmtId="0" fontId="12" fillId="2" borderId="1" xfId="0" applyFont="1" applyFill="1" applyBorder="1" applyAlignment="1">
      <alignment horizontal="left"/>
    </xf>
    <xf numFmtId="4" fontId="15" fillId="5" borderId="1" xfId="0" applyNumberFormat="1" applyFont="1" applyFill="1" applyBorder="1"/>
    <xf numFmtId="0" fontId="9" fillId="0" borderId="3" xfId="0" applyFont="1" applyBorder="1" applyAlignment="1">
      <alignment horizontal="left"/>
    </xf>
    <xf numFmtId="166" fontId="16" fillId="6" borderId="4" xfId="0" applyNumberFormat="1" applyFont="1" applyFill="1" applyBorder="1"/>
    <xf numFmtId="4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7" fillId="0" borderId="1" xfId="0" applyFont="1" applyBorder="1"/>
    <xf numFmtId="0" fontId="5" fillId="0" borderId="1" xfId="0" applyFont="1" applyFill="1" applyBorder="1"/>
    <xf numFmtId="0" fontId="9" fillId="2" borderId="1" xfId="0" applyFont="1" applyFill="1" applyBorder="1"/>
    <xf numFmtId="165" fontId="9" fillId="2" borderId="2" xfId="0" applyNumberFormat="1" applyFont="1" applyFill="1" applyBorder="1"/>
    <xf numFmtId="0" fontId="5" fillId="7" borderId="1" xfId="0" applyFont="1" applyFill="1" applyBorder="1"/>
    <xf numFmtId="166" fontId="16" fillId="6" borderId="2" xfId="0" applyNumberFormat="1" applyFont="1" applyFill="1" applyBorder="1"/>
    <xf numFmtId="0" fontId="4" fillId="3" borderId="1" xfId="0" applyFont="1" applyFill="1" applyBorder="1"/>
    <xf numFmtId="0" fontId="2" fillId="0" borderId="2" xfId="0" applyFont="1" applyFill="1" applyBorder="1" applyAlignment="1">
      <alignment horizontal="left" vertical="center" wrapText="1"/>
    </xf>
    <xf numFmtId="4" fontId="18" fillId="0" borderId="1" xfId="0" applyNumberFormat="1" applyFont="1" applyBorder="1"/>
    <xf numFmtId="0" fontId="5" fillId="0" borderId="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right"/>
    </xf>
    <xf numFmtId="0" fontId="5" fillId="4" borderId="1" xfId="0" applyFont="1" applyFill="1" applyBorder="1"/>
    <xf numFmtId="0" fontId="0" fillId="0" borderId="2" xfId="0" applyBorder="1"/>
    <xf numFmtId="167" fontId="17" fillId="0" borderId="2" xfId="1" applyNumberFormat="1" applyFont="1" applyBorder="1"/>
    <xf numFmtId="167" fontId="19" fillId="0" borderId="2" xfId="1" applyNumberFormat="1" applyFont="1" applyBorder="1"/>
    <xf numFmtId="4" fontId="13" fillId="5" borderId="6" xfId="0" applyNumberFormat="1" applyFont="1" applyFill="1" applyBorder="1"/>
    <xf numFmtId="168" fontId="0" fillId="0" borderId="1" xfId="2" applyNumberFormat="1" applyFont="1" applyBorder="1"/>
    <xf numFmtId="168" fontId="0" fillId="0" borderId="0" xfId="2" applyNumberFormat="1" applyFont="1"/>
    <xf numFmtId="168" fontId="0" fillId="0" borderId="1" xfId="2" applyNumberFormat="1" applyFont="1" applyBorder="1" applyAlignment="1">
      <alignment horizontal="right"/>
    </xf>
    <xf numFmtId="168" fontId="0" fillId="0" borderId="0" xfId="2" applyNumberFormat="1" applyFont="1" applyAlignment="1">
      <alignment horizontal="right"/>
    </xf>
    <xf numFmtId="0" fontId="0" fillId="0" borderId="0" xfId="0" applyBorder="1"/>
    <xf numFmtId="166" fontId="0" fillId="0" borderId="0" xfId="0" applyNumberFormat="1"/>
    <xf numFmtId="0" fontId="0" fillId="0" borderId="7" xfId="0" applyBorder="1"/>
    <xf numFmtId="167" fontId="17" fillId="0" borderId="1" xfId="1" applyNumberFormat="1" applyFont="1" applyBorder="1"/>
    <xf numFmtId="167" fontId="19" fillId="0" borderId="1" xfId="1" applyNumberFormat="1" applyFont="1" applyBorder="1"/>
    <xf numFmtId="165" fontId="9" fillId="2" borderId="1" xfId="0" applyNumberFormat="1" applyFont="1" applyFill="1" applyBorder="1"/>
    <xf numFmtId="4" fontId="13" fillId="5" borderId="8" xfId="0" applyNumberFormat="1" applyFont="1" applyFill="1" applyBorder="1"/>
    <xf numFmtId="166" fontId="16" fillId="6" borderId="1" xfId="0" applyNumberFormat="1" applyFont="1" applyFill="1" applyBorder="1"/>
    <xf numFmtId="168" fontId="0" fillId="0" borderId="7" xfId="2" applyNumberFormat="1" applyFont="1" applyBorder="1"/>
    <xf numFmtId="167" fontId="0" fillId="0" borderId="0" xfId="0" applyNumberFormat="1"/>
    <xf numFmtId="167" fontId="19" fillId="0" borderId="3" xfId="1" applyNumberFormat="1" applyFont="1" applyBorder="1"/>
    <xf numFmtId="0" fontId="0" fillId="0" borderId="8" xfId="0" applyBorder="1"/>
    <xf numFmtId="167" fontId="19" fillId="0" borderId="9" xfId="1" applyNumberFormat="1" applyFont="1" applyBorder="1"/>
    <xf numFmtId="0" fontId="20" fillId="8" borderId="1" xfId="0" applyFont="1" applyFill="1" applyBorder="1" applyAlignment="1">
      <alignment horizontal="center"/>
    </xf>
    <xf numFmtId="4" fontId="14" fillId="0" borderId="5" xfId="0" applyNumberFormat="1" applyFont="1" applyFill="1" applyBorder="1"/>
    <xf numFmtId="167" fontId="19" fillId="0" borderId="0" xfId="1" applyNumberFormat="1" applyFont="1" applyBorder="1"/>
    <xf numFmtId="167" fontId="19" fillId="0" borderId="8" xfId="1" applyNumberFormat="1" applyFont="1" applyBorder="1"/>
    <xf numFmtId="0" fontId="0" fillId="0" borderId="0" xfId="0" applyAlignment="1">
      <alignment wrapText="1"/>
    </xf>
    <xf numFmtId="169" fontId="0" fillId="0" borderId="0" xfId="0" applyNumberFormat="1"/>
    <xf numFmtId="0" fontId="2" fillId="0" borderId="0" xfId="0" applyFont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8" borderId="1" xfId="0" applyFont="1" applyFill="1" applyBorder="1" applyAlignment="1">
      <alignment horizontal="center"/>
    </xf>
    <xf numFmtId="0" fontId="20" fillId="8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"/>
  <sheetViews>
    <sheetView topLeftCell="A7" workbookViewId="0">
      <selection activeCell="G16" sqref="G16"/>
    </sheetView>
  </sheetViews>
  <sheetFormatPr baseColWidth="10" defaultRowHeight="15"/>
  <cols>
    <col min="1" max="1" width="58.85546875" customWidth="1"/>
    <col min="2" max="2" width="31.42578125" customWidth="1"/>
    <col min="3" max="3" width="23.28515625" customWidth="1"/>
  </cols>
  <sheetData>
    <row r="3" spans="1:2" ht="15.75">
      <c r="A3" s="65" t="s">
        <v>0</v>
      </c>
      <c r="B3" s="65"/>
    </row>
    <row r="4" spans="1:2" ht="15.75">
      <c r="A4" s="65" t="s">
        <v>21</v>
      </c>
      <c r="B4" s="65"/>
    </row>
    <row r="5" spans="1:2" ht="21.75">
      <c r="A5" s="3"/>
      <c r="B5" s="12" t="s">
        <v>20</v>
      </c>
    </row>
    <row r="6" spans="1:2" ht="15.75">
      <c r="A6" s="4" t="s">
        <v>1</v>
      </c>
      <c r="B6" s="5">
        <f>B7+B8</f>
        <v>7263000000</v>
      </c>
    </row>
    <row r="7" spans="1:2">
      <c r="A7" s="6" t="s">
        <v>2</v>
      </c>
      <c r="B7" s="7">
        <v>1200000000</v>
      </c>
    </row>
    <row r="8" spans="1:2">
      <c r="A8" s="6" t="s">
        <v>3</v>
      </c>
      <c r="B8" s="7">
        <v>6063000000</v>
      </c>
    </row>
    <row r="9" spans="1:2" ht="15.75">
      <c r="A9" s="4" t="s">
        <v>4</v>
      </c>
      <c r="B9" s="5">
        <f>B11+B12+B13+B14</f>
        <v>2707000000</v>
      </c>
    </row>
    <row r="10" spans="1:2">
      <c r="A10" s="8" t="s">
        <v>5</v>
      </c>
      <c r="B10" s="7">
        <v>0</v>
      </c>
    </row>
    <row r="11" spans="1:2">
      <c r="A11" s="8" t="s">
        <v>6</v>
      </c>
      <c r="B11" s="7">
        <v>200000000</v>
      </c>
    </row>
    <row r="12" spans="1:2">
      <c r="A12" s="8" t="s">
        <v>7</v>
      </c>
      <c r="B12" s="7">
        <v>2500000000</v>
      </c>
    </row>
    <row r="13" spans="1:2">
      <c r="A13" s="8" t="s">
        <v>8</v>
      </c>
      <c r="B13" s="10">
        <v>6000000</v>
      </c>
    </row>
    <row r="14" spans="1:2">
      <c r="A14" s="8" t="s">
        <v>9</v>
      </c>
      <c r="B14" s="7">
        <v>1000000</v>
      </c>
    </row>
    <row r="15" spans="1:2" ht="15.75">
      <c r="A15" s="1" t="s">
        <v>23</v>
      </c>
      <c r="B15" s="2">
        <f>B6+B9</f>
        <v>9970000000</v>
      </c>
    </row>
    <row r="19" spans="1:3" ht="15.75">
      <c r="A19" s="65" t="s">
        <v>0</v>
      </c>
      <c r="B19" s="65"/>
    </row>
    <row r="20" spans="1:3" ht="15.75">
      <c r="A20" s="65" t="s">
        <v>22</v>
      </c>
      <c r="B20" s="65"/>
    </row>
    <row r="21" spans="1:3" ht="19.5">
      <c r="A21" s="9"/>
      <c r="B21" s="12" t="s">
        <v>20</v>
      </c>
    </row>
    <row r="22" spans="1:3" ht="15.75">
      <c r="A22" s="4" t="s">
        <v>10</v>
      </c>
      <c r="B22" s="11">
        <v>7640000000</v>
      </c>
    </row>
    <row r="23" spans="1:3" ht="15.75">
      <c r="A23" s="32" t="s">
        <v>11</v>
      </c>
      <c r="B23" s="5">
        <v>0</v>
      </c>
    </row>
    <row r="24" spans="1:3">
      <c r="A24" s="66" t="s">
        <v>12</v>
      </c>
      <c r="B24" s="67"/>
    </row>
    <row r="25" spans="1:3" ht="15.75">
      <c r="A25" s="4" t="s">
        <v>13</v>
      </c>
      <c r="B25" s="5">
        <f>B26+B27+B28+B29+B30+B31</f>
        <v>3330000000</v>
      </c>
    </row>
    <row r="26" spans="1:3">
      <c r="A26" s="8" t="s">
        <v>14</v>
      </c>
      <c r="B26" s="7">
        <v>650000000</v>
      </c>
    </row>
    <row r="27" spans="1:3">
      <c r="A27" s="8" t="s">
        <v>15</v>
      </c>
      <c r="B27" s="7">
        <v>700000000</v>
      </c>
    </row>
    <row r="28" spans="1:3">
      <c r="A28" s="8" t="s">
        <v>16</v>
      </c>
      <c r="B28" s="7">
        <v>700000000</v>
      </c>
    </row>
    <row r="29" spans="1:3">
      <c r="A29" s="8" t="s">
        <v>17</v>
      </c>
      <c r="B29" s="7">
        <v>300000000</v>
      </c>
    </row>
    <row r="30" spans="1:3">
      <c r="A30" s="8" t="s">
        <v>18</v>
      </c>
      <c r="B30" s="7">
        <v>300000000</v>
      </c>
    </row>
    <row r="31" spans="1:3">
      <c r="A31" s="8" t="s">
        <v>19</v>
      </c>
      <c r="B31" s="7">
        <v>680000000</v>
      </c>
    </row>
    <row r="32" spans="1:3" ht="15.75">
      <c r="A32" s="1" t="s">
        <v>23</v>
      </c>
      <c r="B32" s="2">
        <f>B22+B25</f>
        <v>10970000000</v>
      </c>
      <c r="C32" s="23"/>
    </row>
  </sheetData>
  <mergeCells count="5">
    <mergeCell ref="A3:B3"/>
    <mergeCell ref="A4:B4"/>
    <mergeCell ref="A19:B19"/>
    <mergeCell ref="A20:B20"/>
    <mergeCell ref="A24:B2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workbookViewId="0">
      <pane xSplit="2" topLeftCell="C1" activePane="topRight" state="frozen"/>
      <selection pane="topRight" activeCell="B10" sqref="B10:B50"/>
    </sheetView>
  </sheetViews>
  <sheetFormatPr baseColWidth="10" defaultRowHeight="15"/>
  <cols>
    <col min="1" max="1" width="9.28515625" customWidth="1"/>
    <col min="2" max="2" width="33" customWidth="1"/>
    <col min="3" max="3" width="17.140625" customWidth="1"/>
    <col min="4" max="4" width="20.28515625" bestFit="1" customWidth="1"/>
    <col min="5" max="5" width="17.5703125" customWidth="1"/>
    <col min="6" max="6" width="19.5703125" bestFit="1" customWidth="1"/>
    <col min="7" max="7" width="21.7109375" bestFit="1" customWidth="1"/>
    <col min="8" max="8" width="20" bestFit="1" customWidth="1"/>
    <col min="9" max="10" width="18.85546875" bestFit="1" customWidth="1"/>
    <col min="11" max="11" width="19" bestFit="1" customWidth="1"/>
    <col min="12" max="12" width="17" customWidth="1"/>
    <col min="13" max="13" width="19.28515625" customWidth="1"/>
    <col min="14" max="14" width="22.42578125" customWidth="1"/>
    <col min="15" max="15" width="22.85546875" customWidth="1"/>
    <col min="16" max="16" width="20.28515625" customWidth="1"/>
    <col min="17" max="18" width="18" customWidth="1"/>
    <col min="19" max="20" width="15.28515625" customWidth="1"/>
    <col min="21" max="21" width="12" customWidth="1"/>
    <col min="22" max="22" width="13" customWidth="1"/>
    <col min="25" max="25" width="13.7109375" customWidth="1"/>
  </cols>
  <sheetData>
    <row r="1" spans="1:19" ht="15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9" ht="15.75">
      <c r="A2" s="71" t="s">
        <v>222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9" ht="15.75">
      <c r="A3" s="71" t="s">
        <v>223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5" spans="1:19" ht="15" customHeight="1">
      <c r="A5" s="68" t="s">
        <v>24</v>
      </c>
      <c r="B5" s="68" t="s">
        <v>25</v>
      </c>
      <c r="C5" s="68" t="s">
        <v>170</v>
      </c>
      <c r="D5" s="68" t="s">
        <v>192</v>
      </c>
      <c r="E5" s="68" t="s">
        <v>193</v>
      </c>
      <c r="F5" s="68" t="s">
        <v>194</v>
      </c>
      <c r="G5" s="68" t="s">
        <v>195</v>
      </c>
      <c r="H5" s="68" t="s">
        <v>198</v>
      </c>
      <c r="I5" s="68" t="s">
        <v>202</v>
      </c>
      <c r="J5" s="68" t="s">
        <v>203</v>
      </c>
      <c r="K5" s="68" t="s">
        <v>208</v>
      </c>
      <c r="L5" s="68" t="s">
        <v>209</v>
      </c>
      <c r="M5" s="68" t="s">
        <v>211</v>
      </c>
      <c r="N5" s="68" t="s">
        <v>214</v>
      </c>
      <c r="O5" s="68" t="s">
        <v>215</v>
      </c>
      <c r="P5" s="68" t="s">
        <v>220</v>
      </c>
      <c r="Q5" s="68" t="s">
        <v>225</v>
      </c>
      <c r="R5" s="68" t="s">
        <v>226</v>
      </c>
    </row>
    <row r="6" spans="1:19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9">
      <c r="A7" s="13">
        <v>1.1000000000000001</v>
      </c>
      <c r="B7" s="14" t="s">
        <v>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7"/>
    </row>
    <row r="8" spans="1:19">
      <c r="A8" s="15" t="s">
        <v>26</v>
      </c>
      <c r="B8" s="16" t="s">
        <v>27</v>
      </c>
      <c r="C8" s="17">
        <v>1200000000</v>
      </c>
      <c r="D8" s="17"/>
      <c r="E8" s="17">
        <f>+C8+D8</f>
        <v>1200000000</v>
      </c>
      <c r="F8" s="17"/>
      <c r="G8" s="25"/>
      <c r="H8" s="25"/>
      <c r="I8" s="25"/>
      <c r="J8" s="17">
        <v>452000000</v>
      </c>
      <c r="K8" s="17"/>
      <c r="L8" s="17"/>
      <c r="M8" s="17"/>
      <c r="N8" s="17"/>
      <c r="O8" s="17"/>
      <c r="P8" s="17">
        <v>234000000</v>
      </c>
      <c r="Q8" s="17">
        <v>810000000</v>
      </c>
      <c r="R8" s="17">
        <f>F8+G8+H8+I8+J8+K8+L8+M8+N8+O8+P8+Q8</f>
        <v>1496000000</v>
      </c>
    </row>
    <row r="9" spans="1:19" ht="15" customHeight="1">
      <c r="A9" s="13">
        <v>1.2</v>
      </c>
      <c r="B9" s="14" t="s">
        <v>3</v>
      </c>
      <c r="C9" s="17"/>
      <c r="D9" s="17"/>
      <c r="E9" s="17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17"/>
    </row>
    <row r="10" spans="1:19">
      <c r="A10" s="15" t="s">
        <v>28</v>
      </c>
      <c r="B10" s="16" t="s">
        <v>29</v>
      </c>
      <c r="C10" s="17">
        <v>2300000000</v>
      </c>
      <c r="D10" s="17"/>
      <c r="E10" s="17">
        <f t="shared" ref="E10:E50" si="0">+C10+D10</f>
        <v>2300000000</v>
      </c>
      <c r="F10" s="17">
        <v>114034935</v>
      </c>
      <c r="G10" s="17">
        <f>126262991+2337095</f>
        <v>128600086</v>
      </c>
      <c r="H10" s="17">
        <f>127539497+12952614</f>
        <v>140492111</v>
      </c>
      <c r="I10" s="17">
        <f>102773010+58426283</f>
        <v>161199293</v>
      </c>
      <c r="J10" s="17">
        <f>106057221+43396000</f>
        <v>149453221</v>
      </c>
      <c r="K10" s="17">
        <f>118377640+61029672+50000000</f>
        <v>229407312</v>
      </c>
      <c r="L10" s="17">
        <f>138120389</f>
        <v>138120389</v>
      </c>
      <c r="M10" s="17">
        <v>124808108</v>
      </c>
      <c r="N10" s="17">
        <v>113477994</v>
      </c>
      <c r="O10" s="17">
        <v>88228679</v>
      </c>
      <c r="P10" s="17">
        <v>95737921</v>
      </c>
      <c r="Q10" s="17">
        <v>103644997</v>
      </c>
      <c r="R10" s="17">
        <f t="shared" ref="R10:R50" si="1">F10+G10+H10+I10+J10+K10+L10+M10+N10+O10+P10+Q10</f>
        <v>1587205046</v>
      </c>
    </row>
    <row r="11" spans="1:19">
      <c r="A11" s="15" t="s">
        <v>30</v>
      </c>
      <c r="B11" s="16" t="s">
        <v>31</v>
      </c>
      <c r="C11" s="17">
        <v>300000000</v>
      </c>
      <c r="D11" s="17"/>
      <c r="E11" s="17">
        <f t="shared" si="0"/>
        <v>300000000</v>
      </c>
      <c r="F11" s="17">
        <v>69795214</v>
      </c>
      <c r="G11" s="17">
        <v>42897533</v>
      </c>
      <c r="H11" s="17">
        <v>59852414</v>
      </c>
      <c r="I11" s="17">
        <v>28759874</v>
      </c>
      <c r="J11" s="17">
        <v>19875456</v>
      </c>
      <c r="K11" s="17">
        <v>31756432</v>
      </c>
      <c r="L11" s="17">
        <v>36373972</v>
      </c>
      <c r="M11" s="17">
        <v>27770712</v>
      </c>
      <c r="N11" s="17">
        <v>27546874</v>
      </c>
      <c r="O11" s="17">
        <v>19933692</v>
      </c>
      <c r="P11" s="17">
        <v>19144826</v>
      </c>
      <c r="Q11" s="17">
        <v>26199978</v>
      </c>
      <c r="R11" s="17">
        <f t="shared" si="1"/>
        <v>409906977</v>
      </c>
      <c r="S11" s="23"/>
    </row>
    <row r="12" spans="1:19">
      <c r="A12" s="15" t="s">
        <v>32</v>
      </c>
      <c r="B12" s="16" t="s">
        <v>196</v>
      </c>
      <c r="C12" s="17">
        <v>50000000</v>
      </c>
      <c r="D12" s="17"/>
      <c r="E12" s="17">
        <f t="shared" si="0"/>
        <v>50000000</v>
      </c>
      <c r="F12" s="17">
        <v>3568942</v>
      </c>
      <c r="G12" s="17">
        <v>1589554</v>
      </c>
      <c r="H12" s="17">
        <v>2360358</v>
      </c>
      <c r="I12" s="17">
        <f>1718496+3218670</f>
        <v>4937166</v>
      </c>
      <c r="J12" s="17">
        <f>1145664+1907360</f>
        <v>3053024</v>
      </c>
      <c r="K12" s="17">
        <v>1764308</v>
      </c>
      <c r="L12" s="17">
        <v>1272960</v>
      </c>
      <c r="M12" s="17">
        <f>3004092+2268834</f>
        <v>5272926</v>
      </c>
      <c r="N12" s="17">
        <f>5410702+4744558</f>
        <v>10155260</v>
      </c>
      <c r="O12" s="17">
        <f>3405168+6103552</f>
        <v>9508720</v>
      </c>
      <c r="P12" s="17">
        <v>1579016</v>
      </c>
      <c r="Q12" s="17">
        <v>2985232</v>
      </c>
      <c r="R12" s="17">
        <f t="shared" si="1"/>
        <v>48047466</v>
      </c>
    </row>
    <row r="13" spans="1:19">
      <c r="A13" s="15" t="s">
        <v>33</v>
      </c>
      <c r="B13" s="16" t="s">
        <v>34</v>
      </c>
      <c r="C13" s="17">
        <v>1370000000</v>
      </c>
      <c r="D13" s="17"/>
      <c r="E13" s="17">
        <f t="shared" si="0"/>
        <v>1370000000</v>
      </c>
      <c r="F13" s="17">
        <v>168974236</v>
      </c>
      <c r="G13" s="17">
        <v>124897552</v>
      </c>
      <c r="H13" s="17">
        <v>147062854</v>
      </c>
      <c r="I13" s="17">
        <f>164111067-61601470</f>
        <v>102509597</v>
      </c>
      <c r="J13" s="17">
        <v>77546228</v>
      </c>
      <c r="K13" s="17">
        <f>152422783-60177686+60000000</f>
        <v>152245097</v>
      </c>
      <c r="L13" s="17">
        <v>176548924</v>
      </c>
      <c r="M13" s="17">
        <v>147700724</v>
      </c>
      <c r="N13" s="17">
        <f>133685832-52911140+23658974+2264241</f>
        <v>106697907</v>
      </c>
      <c r="O13" s="17">
        <f>127904937-45377872</f>
        <v>82527065</v>
      </c>
      <c r="P13" s="17">
        <v>97804141</v>
      </c>
      <c r="Q13" s="17">
        <v>80379008</v>
      </c>
      <c r="R13" s="17">
        <f t="shared" si="1"/>
        <v>1464893333</v>
      </c>
    </row>
    <row r="14" spans="1:19">
      <c r="A14" s="15" t="s">
        <v>35</v>
      </c>
      <c r="B14" s="16" t="s">
        <v>36</v>
      </c>
      <c r="C14" s="17">
        <v>22000000</v>
      </c>
      <c r="D14" s="17"/>
      <c r="E14" s="17">
        <f t="shared" si="0"/>
        <v>22000000</v>
      </c>
      <c r="F14" s="17">
        <f>1276340</f>
        <v>1276340</v>
      </c>
      <c r="G14" s="17">
        <v>1172875</v>
      </c>
      <c r="H14" s="17">
        <f>1115285</f>
        <v>1115285</v>
      </c>
      <c r="I14" s="17">
        <v>1273145</v>
      </c>
      <c r="J14" s="17">
        <v>1244535</v>
      </c>
      <c r="K14" s="17">
        <v>1430500</v>
      </c>
      <c r="L14" s="17">
        <v>1645075</v>
      </c>
      <c r="M14" s="17">
        <v>1058570</v>
      </c>
      <c r="N14" s="17">
        <f>1573550</f>
        <v>1573550</v>
      </c>
      <c r="O14" s="17">
        <f>1387585</f>
        <v>1387585</v>
      </c>
      <c r="P14" s="17">
        <v>1301755</v>
      </c>
      <c r="Q14" s="17">
        <v>1072875</v>
      </c>
      <c r="R14" s="17">
        <f t="shared" si="1"/>
        <v>15552090</v>
      </c>
    </row>
    <row r="15" spans="1:19">
      <c r="A15" s="15" t="s">
        <v>37</v>
      </c>
      <c r="B15" s="16" t="s">
        <v>38</v>
      </c>
      <c r="C15" s="17">
        <v>32000000</v>
      </c>
      <c r="D15" s="17"/>
      <c r="E15" s="17">
        <f t="shared" si="0"/>
        <v>32000000</v>
      </c>
      <c r="F15" s="17">
        <v>1602830</v>
      </c>
      <c r="G15" s="17">
        <v>1616465</v>
      </c>
      <c r="H15" s="17">
        <v>1615960</v>
      </c>
      <c r="I15" s="17">
        <v>1888260</v>
      </c>
      <c r="J15" s="17">
        <v>1702295</v>
      </c>
      <c r="K15" s="17">
        <v>2288800</v>
      </c>
      <c r="L15" s="17">
        <v>2017005</v>
      </c>
      <c r="M15" s="17">
        <v>1416195</v>
      </c>
      <c r="N15" s="17">
        <v>1802430</v>
      </c>
      <c r="O15" s="17">
        <v>1587855</v>
      </c>
      <c r="P15" s="17">
        <v>1487720</v>
      </c>
      <c r="Q15" s="17">
        <v>1230230</v>
      </c>
      <c r="R15" s="17">
        <f t="shared" si="1"/>
        <v>20256045</v>
      </c>
    </row>
    <row r="16" spans="1:19">
      <c r="A16" s="15" t="s">
        <v>39</v>
      </c>
      <c r="B16" s="16" t="s">
        <v>40</v>
      </c>
      <c r="C16" s="17">
        <v>75000000</v>
      </c>
      <c r="D16" s="17"/>
      <c r="E16" s="17">
        <f t="shared" si="0"/>
        <v>75000000</v>
      </c>
      <c r="F16" s="17">
        <v>9232592</v>
      </c>
      <c r="G16" s="17">
        <v>10354430</v>
      </c>
      <c r="H16" s="17">
        <v>17386948</v>
      </c>
      <c r="I16" s="17">
        <v>7022940</v>
      </c>
      <c r="J16" s="17">
        <v>5331174</v>
      </c>
      <c r="K16" s="17">
        <v>10948872</v>
      </c>
      <c r="L16" s="17">
        <v>13458840</v>
      </c>
      <c r="M16" s="17">
        <v>9961960</v>
      </c>
      <c r="N16" s="17">
        <v>8863113</v>
      </c>
      <c r="O16" s="17">
        <v>7883680</v>
      </c>
      <c r="P16" s="17">
        <v>2882610</v>
      </c>
      <c r="Q16" s="17">
        <v>6228720</v>
      </c>
      <c r="R16" s="17">
        <f t="shared" si="1"/>
        <v>109555879</v>
      </c>
    </row>
    <row r="17" spans="1:18">
      <c r="A17" s="15" t="s">
        <v>41</v>
      </c>
      <c r="B17" s="16" t="s">
        <v>42</v>
      </c>
      <c r="C17" s="17">
        <v>4000000</v>
      </c>
      <c r="D17" s="17"/>
      <c r="E17" s="17">
        <f t="shared" si="0"/>
        <v>4000000</v>
      </c>
      <c r="F17" s="17">
        <v>897564</v>
      </c>
      <c r="G17" s="17">
        <v>654222</v>
      </c>
      <c r="H17" s="17">
        <v>546872</v>
      </c>
      <c r="I17" s="17">
        <v>702456</v>
      </c>
      <c r="J17" s="17">
        <v>594788</v>
      </c>
      <c r="K17" s="17">
        <v>284756</v>
      </c>
      <c r="L17" s="17">
        <v>325876</v>
      </c>
      <c r="M17" s="17">
        <v>296586</v>
      </c>
      <c r="N17" s="17">
        <v>2845632</v>
      </c>
      <c r="O17" s="17">
        <f>354875+77121</f>
        <v>431996</v>
      </c>
      <c r="P17" s="17">
        <v>985462</v>
      </c>
      <c r="Q17" s="17">
        <v>356894</v>
      </c>
      <c r="R17" s="17">
        <f t="shared" si="1"/>
        <v>8923104</v>
      </c>
    </row>
    <row r="18" spans="1:18">
      <c r="A18" s="15" t="s">
        <v>43</v>
      </c>
      <c r="B18" s="16" t="s">
        <v>44</v>
      </c>
      <c r="C18" s="17">
        <v>450840000</v>
      </c>
      <c r="D18" s="17"/>
      <c r="E18" s="17">
        <f t="shared" si="0"/>
        <v>450840000</v>
      </c>
      <c r="F18" s="17">
        <v>58975624</v>
      </c>
      <c r="G18" s="17">
        <v>46592557</v>
      </c>
      <c r="H18" s="17">
        <v>18856244</v>
      </c>
      <c r="I18" s="17">
        <v>48745574</v>
      </c>
      <c r="J18" s="17">
        <v>37167781</v>
      </c>
      <c r="K18" s="17">
        <v>34261497</v>
      </c>
      <c r="L18" s="17">
        <v>39609958</v>
      </c>
      <c r="M18" s="17">
        <v>21635676</v>
      </c>
      <c r="N18" s="17">
        <v>10107076</v>
      </c>
      <c r="O18" s="17">
        <v>32162949</v>
      </c>
      <c r="P18" s="17">
        <v>14568796</v>
      </c>
      <c r="Q18" s="60">
        <v>30307998</v>
      </c>
      <c r="R18" s="17">
        <f t="shared" si="1"/>
        <v>392991730</v>
      </c>
    </row>
    <row r="19" spans="1:18">
      <c r="A19" s="15" t="s">
        <v>45</v>
      </c>
      <c r="B19" s="16" t="s">
        <v>46</v>
      </c>
      <c r="C19" s="17">
        <v>5000000</v>
      </c>
      <c r="D19" s="17"/>
      <c r="E19" s="17">
        <f t="shared" si="0"/>
        <v>5000000</v>
      </c>
      <c r="F19" s="17">
        <v>261896</v>
      </c>
      <c r="G19" s="17">
        <v>341187</v>
      </c>
      <c r="H19" s="17">
        <v>422422</v>
      </c>
      <c r="I19" s="17">
        <v>308693</v>
      </c>
      <c r="J19" s="17">
        <v>406175</v>
      </c>
      <c r="K19" s="17">
        <v>438669</v>
      </c>
      <c r="L19" s="17">
        <v>552398</v>
      </c>
      <c r="M19" s="17">
        <v>503657</v>
      </c>
      <c r="N19" s="17">
        <v>389928</v>
      </c>
      <c r="O19" s="17">
        <v>324940</v>
      </c>
      <c r="P19" s="17">
        <v>422422</v>
      </c>
      <c r="Q19" s="17">
        <v>536151</v>
      </c>
      <c r="R19" s="17">
        <f t="shared" si="1"/>
        <v>4908538</v>
      </c>
    </row>
    <row r="20" spans="1:18">
      <c r="A20" s="15" t="s">
        <v>47</v>
      </c>
      <c r="B20" s="16" t="s">
        <v>48</v>
      </c>
      <c r="C20" s="17">
        <v>870000000</v>
      </c>
      <c r="D20" s="17"/>
      <c r="E20" s="17">
        <f t="shared" si="0"/>
        <v>870000000</v>
      </c>
      <c r="F20" s="17">
        <v>69131176</v>
      </c>
      <c r="G20" s="17">
        <v>82764035</v>
      </c>
      <c r="H20" s="17">
        <f>82395219+6579916</f>
        <v>88975135</v>
      </c>
      <c r="I20" s="17">
        <v>57828934</v>
      </c>
      <c r="J20" s="17">
        <v>39289512</v>
      </c>
      <c r="K20" s="17">
        <v>55344292</v>
      </c>
      <c r="L20" s="17">
        <v>75099069</v>
      </c>
      <c r="M20" s="17">
        <v>56966998</v>
      </c>
      <c r="N20" s="17">
        <v>42875196</v>
      </c>
      <c r="O20" s="17">
        <v>44593088</v>
      </c>
      <c r="P20" s="17">
        <v>38472762</v>
      </c>
      <c r="Q20" s="17">
        <v>34887639</v>
      </c>
      <c r="R20" s="17">
        <f t="shared" si="1"/>
        <v>686227836</v>
      </c>
    </row>
    <row r="21" spans="1:18">
      <c r="A21" s="15" t="s">
        <v>49</v>
      </c>
      <c r="B21" s="16" t="s">
        <v>50</v>
      </c>
      <c r="C21" s="17">
        <v>80000000</v>
      </c>
      <c r="D21" s="17"/>
      <c r="E21" s="17">
        <f t="shared" si="0"/>
        <v>80000000</v>
      </c>
      <c r="F21" s="17">
        <v>15789524</v>
      </c>
      <c r="G21" s="17">
        <v>10452226</v>
      </c>
      <c r="H21" s="17">
        <v>4756244</v>
      </c>
      <c r="I21" s="17">
        <v>42734288</v>
      </c>
      <c r="J21" s="17">
        <v>37937707</v>
      </c>
      <c r="K21" s="17">
        <v>33625569</v>
      </c>
      <c r="L21" s="17">
        <v>43674341</v>
      </c>
      <c r="M21" s="17">
        <v>17925420</v>
      </c>
      <c r="N21" s="17">
        <v>17285384</v>
      </c>
      <c r="O21" s="17">
        <v>46845427</v>
      </c>
      <c r="P21" s="17">
        <v>29788359</v>
      </c>
      <c r="Q21" s="17">
        <v>43454852</v>
      </c>
      <c r="R21" s="17">
        <f t="shared" si="1"/>
        <v>344269341</v>
      </c>
    </row>
    <row r="22" spans="1:18">
      <c r="A22" s="15" t="s">
        <v>51</v>
      </c>
      <c r="B22" s="16" t="s">
        <v>52</v>
      </c>
      <c r="C22" s="17">
        <v>15000000</v>
      </c>
      <c r="D22" s="17"/>
      <c r="E22" s="17">
        <f t="shared" si="0"/>
        <v>15000000</v>
      </c>
      <c r="F22" s="17">
        <v>687524</v>
      </c>
      <c r="G22" s="17">
        <v>456882</v>
      </c>
      <c r="H22" s="17">
        <v>122358</v>
      </c>
      <c r="I22" s="17">
        <v>726923</v>
      </c>
      <c r="J22" s="17">
        <v>863758</v>
      </c>
      <c r="K22" s="17">
        <v>636000</v>
      </c>
      <c r="L22" s="17">
        <v>119068</v>
      </c>
      <c r="M22" s="17">
        <v>17479</v>
      </c>
      <c r="N22" s="17">
        <v>14301</v>
      </c>
      <c r="O22" s="17">
        <v>813757</v>
      </c>
      <c r="P22" s="17">
        <v>312712</v>
      </c>
      <c r="Q22" s="17">
        <v>184218</v>
      </c>
      <c r="R22" s="17">
        <f t="shared" si="1"/>
        <v>4954980</v>
      </c>
    </row>
    <row r="23" spans="1:18">
      <c r="A23" s="15" t="s">
        <v>53</v>
      </c>
      <c r="B23" s="16" t="s">
        <v>54</v>
      </c>
      <c r="C23" s="17">
        <v>44000000</v>
      </c>
      <c r="D23" s="17"/>
      <c r="E23" s="17">
        <f t="shared" si="0"/>
        <v>44000000</v>
      </c>
      <c r="F23" s="17">
        <v>3970891</v>
      </c>
      <c r="G23" s="17">
        <v>2147966</v>
      </c>
      <c r="H23" s="17">
        <v>4548952</v>
      </c>
      <c r="I23" s="17">
        <f>4898025</f>
        <v>4898025</v>
      </c>
      <c r="J23" s="17">
        <f>4985101+10781</f>
        <v>4995882</v>
      </c>
      <c r="K23" s="17">
        <v>5725247</v>
      </c>
      <c r="L23" s="17">
        <v>6552469</v>
      </c>
      <c r="M23" s="17">
        <v>4702104</v>
      </c>
      <c r="N23" s="17">
        <v>5246329</v>
      </c>
      <c r="O23" s="17">
        <v>4353800</v>
      </c>
      <c r="P23" s="17">
        <v>4049034</v>
      </c>
      <c r="Q23" s="17">
        <v>5028639</v>
      </c>
      <c r="R23" s="17">
        <f t="shared" si="1"/>
        <v>56219338</v>
      </c>
    </row>
    <row r="24" spans="1:18">
      <c r="A24" s="15" t="s">
        <v>55</v>
      </c>
      <c r="B24" s="16" t="s">
        <v>56</v>
      </c>
      <c r="C24" s="17">
        <v>67000000</v>
      </c>
      <c r="D24" s="17"/>
      <c r="E24" s="17">
        <f t="shared" si="0"/>
        <v>67000000</v>
      </c>
      <c r="F24" s="17">
        <v>6259743</v>
      </c>
      <c r="G24" s="17">
        <v>7254370</v>
      </c>
      <c r="H24" s="17">
        <v>14484489</v>
      </c>
      <c r="I24" s="17">
        <v>8334035</v>
      </c>
      <c r="J24" s="17">
        <v>7885844</v>
      </c>
      <c r="K24" s="17">
        <v>9920479</v>
      </c>
      <c r="L24" s="17">
        <v>31988003</v>
      </c>
      <c r="M24" s="17">
        <v>17707092</v>
      </c>
      <c r="N24" s="17">
        <v>18638023</v>
      </c>
      <c r="O24" s="17">
        <v>5559764</v>
      </c>
      <c r="P24" s="17">
        <v>5290738</v>
      </c>
      <c r="Q24" s="17">
        <v>6338905</v>
      </c>
      <c r="R24" s="17">
        <f t="shared" si="1"/>
        <v>139661485</v>
      </c>
    </row>
    <row r="25" spans="1:18">
      <c r="A25" s="15" t="s">
        <v>57</v>
      </c>
      <c r="B25" s="16" t="s">
        <v>58</v>
      </c>
      <c r="C25" s="17">
        <v>3200000</v>
      </c>
      <c r="D25" s="17"/>
      <c r="E25" s="17">
        <f t="shared" si="0"/>
        <v>3200000</v>
      </c>
      <c r="F25" s="17">
        <v>94875</v>
      </c>
      <c r="G25" s="17">
        <v>66534</v>
      </c>
      <c r="H25" s="17">
        <v>58642</v>
      </c>
      <c r="I25" s="17">
        <v>1426335</v>
      </c>
      <c r="J25" s="17">
        <v>1022915</v>
      </c>
      <c r="K25" s="17">
        <f>399272+71147</f>
        <v>470419</v>
      </c>
      <c r="L25" s="17">
        <v>390784</v>
      </c>
      <c r="M25" s="17">
        <v>658069</v>
      </c>
      <c r="N25" s="17">
        <v>221080</v>
      </c>
      <c r="O25" s="17">
        <v>184835</v>
      </c>
      <c r="P25" s="17">
        <v>192906</v>
      </c>
      <c r="Q25" s="17">
        <v>24230</v>
      </c>
      <c r="R25" s="17">
        <f t="shared" si="1"/>
        <v>4811624</v>
      </c>
    </row>
    <row r="26" spans="1:18">
      <c r="A26" s="15" t="s">
        <v>59</v>
      </c>
      <c r="B26" s="16" t="s">
        <v>60</v>
      </c>
      <c r="C26" s="17">
        <v>22000000</v>
      </c>
      <c r="D26" s="17"/>
      <c r="E26" s="17">
        <f t="shared" si="0"/>
        <v>22000000</v>
      </c>
      <c r="F26" s="17">
        <v>1745682</v>
      </c>
      <c r="G26" s="17">
        <v>1466558</v>
      </c>
      <c r="H26" s="17">
        <v>1568972</v>
      </c>
      <c r="I26" s="17">
        <v>2156894</v>
      </c>
      <c r="J26" s="17">
        <f>3045238</f>
        <v>3045238</v>
      </c>
      <c r="K26" s="17">
        <f>5777075</f>
        <v>5777075</v>
      </c>
      <c r="L26" s="17">
        <v>11861586</v>
      </c>
      <c r="M26" s="17">
        <v>3547892</v>
      </c>
      <c r="N26" s="17">
        <v>3753566</v>
      </c>
      <c r="O26" s="17">
        <v>2987542</v>
      </c>
      <c r="P26" s="17">
        <v>3152478</v>
      </c>
      <c r="Q26" s="17">
        <v>38197901</v>
      </c>
      <c r="R26" s="17">
        <f t="shared" si="1"/>
        <v>79261384</v>
      </c>
    </row>
    <row r="27" spans="1:18">
      <c r="A27" s="15" t="s">
        <v>61</v>
      </c>
      <c r="B27" s="16" t="s">
        <v>62</v>
      </c>
      <c r="C27" s="17">
        <v>32000000</v>
      </c>
      <c r="D27" s="17"/>
      <c r="E27" s="17">
        <f t="shared" si="0"/>
        <v>32000000</v>
      </c>
      <c r="F27" s="17">
        <v>300246</v>
      </c>
      <c r="G27" s="17">
        <v>212388</v>
      </c>
      <c r="H27" s="17">
        <v>1652894</v>
      </c>
      <c r="I27" s="17">
        <v>985744</v>
      </c>
      <c r="J27" s="17">
        <v>1012458</v>
      </c>
      <c r="K27" s="17">
        <v>356874</v>
      </c>
      <c r="L27" s="17">
        <v>156874</v>
      </c>
      <c r="M27" s="17">
        <v>456897</v>
      </c>
      <c r="N27" s="17">
        <v>4744558</v>
      </c>
      <c r="O27" s="17">
        <v>6055868</v>
      </c>
      <c r="P27" s="17">
        <v>1589642</v>
      </c>
      <c r="Q27" s="17">
        <v>258744</v>
      </c>
      <c r="R27" s="17">
        <f t="shared" si="1"/>
        <v>17783187</v>
      </c>
    </row>
    <row r="28" spans="1:18">
      <c r="A28" s="15" t="s">
        <v>63</v>
      </c>
      <c r="B28" s="16" t="s">
        <v>64</v>
      </c>
      <c r="C28" s="17">
        <v>9000000</v>
      </c>
      <c r="D28" s="17"/>
      <c r="E28" s="17">
        <f t="shared" si="0"/>
        <v>9000000</v>
      </c>
      <c r="F28" s="17">
        <v>2035894</v>
      </c>
      <c r="G28" s="17">
        <v>1996454</v>
      </c>
      <c r="H28" s="17">
        <v>2569842</v>
      </c>
      <c r="I28" s="17">
        <v>3441155</v>
      </c>
      <c r="J28" s="17">
        <f>111623+2649021</f>
        <v>2760644</v>
      </c>
      <c r="K28" s="17">
        <f>2972253</f>
        <v>2972253</v>
      </c>
      <c r="L28" s="17">
        <v>3875422</v>
      </c>
      <c r="M28" s="17">
        <f>12846780+5973490</f>
        <v>18820270</v>
      </c>
      <c r="N28" s="17">
        <f>16701109+10464788</f>
        <v>27165897</v>
      </c>
      <c r="O28" s="17">
        <v>9229205</v>
      </c>
      <c r="P28" s="17">
        <v>8756447</v>
      </c>
      <c r="Q28" s="17">
        <f>8550481+125442</f>
        <v>8675923</v>
      </c>
      <c r="R28" s="17">
        <f t="shared" si="1"/>
        <v>92299406</v>
      </c>
    </row>
    <row r="29" spans="1:18">
      <c r="A29" s="15" t="s">
        <v>65</v>
      </c>
      <c r="B29" s="16" t="s">
        <v>66</v>
      </c>
      <c r="C29" s="17">
        <v>1000000</v>
      </c>
      <c r="D29" s="17"/>
      <c r="E29" s="17">
        <f t="shared" si="0"/>
        <v>1000000</v>
      </c>
      <c r="F29" s="17">
        <v>0</v>
      </c>
      <c r="G29" s="17">
        <v>0</v>
      </c>
      <c r="H29" s="17">
        <v>0</v>
      </c>
      <c r="I29" s="17">
        <f>2061672+198496</f>
        <v>2260168</v>
      </c>
      <c r="J29" s="17">
        <f>97543+490494</f>
        <v>588037</v>
      </c>
      <c r="K29" s="17">
        <f>49909+777307+49909</f>
        <v>877125</v>
      </c>
      <c r="L29" s="17">
        <f>257255</f>
        <v>257255</v>
      </c>
      <c r="M29" s="17">
        <v>180456</v>
      </c>
      <c r="N29" s="17">
        <v>253125</v>
      </c>
      <c r="O29" s="17">
        <v>186879</v>
      </c>
      <c r="P29" s="17">
        <v>212478</v>
      </c>
      <c r="Q29" s="17">
        <v>1009400</v>
      </c>
      <c r="R29" s="17">
        <f t="shared" si="1"/>
        <v>5824923</v>
      </c>
    </row>
    <row r="30" spans="1:18">
      <c r="A30" s="15" t="s">
        <v>67</v>
      </c>
      <c r="B30" s="16" t="s">
        <v>68</v>
      </c>
      <c r="C30" s="17">
        <v>5000000</v>
      </c>
      <c r="D30" s="17"/>
      <c r="E30" s="17">
        <f t="shared" si="0"/>
        <v>5000000</v>
      </c>
      <c r="F30" s="17">
        <v>402586</v>
      </c>
      <c r="G30" s="17">
        <v>358794</v>
      </c>
      <c r="H30" s="17">
        <f>423278-84</f>
        <v>423194</v>
      </c>
      <c r="I30" s="17">
        <v>1685662</v>
      </c>
      <c r="J30" s="17">
        <v>1225936</v>
      </c>
      <c r="K30" s="17">
        <v>875824</v>
      </c>
      <c r="L30" s="17">
        <v>857769</v>
      </c>
      <c r="M30" s="17">
        <v>398038</v>
      </c>
      <c r="N30" s="17">
        <v>1028211</v>
      </c>
      <c r="O30" s="17">
        <v>1379178</v>
      </c>
      <c r="P30" s="17">
        <v>1551180</v>
      </c>
      <c r="Q30" s="17">
        <v>5785233</v>
      </c>
      <c r="R30" s="17">
        <f t="shared" si="1"/>
        <v>15971605</v>
      </c>
    </row>
    <row r="31" spans="1:18">
      <c r="A31" s="15" t="s">
        <v>69</v>
      </c>
      <c r="B31" s="16" t="s">
        <v>70</v>
      </c>
      <c r="C31" s="17">
        <v>200000</v>
      </c>
      <c r="D31" s="17"/>
      <c r="E31" s="17">
        <f t="shared" si="0"/>
        <v>200000</v>
      </c>
      <c r="F31" s="17">
        <v>0</v>
      </c>
      <c r="G31" s="17">
        <v>0</v>
      </c>
      <c r="H31" s="17">
        <v>0</v>
      </c>
      <c r="I31" s="17">
        <v>0</v>
      </c>
      <c r="J31" s="17">
        <v>219975</v>
      </c>
      <c r="K31" s="17">
        <v>104875</v>
      </c>
      <c r="L31" s="17">
        <v>51451</v>
      </c>
      <c r="M31" s="17">
        <v>51451</v>
      </c>
      <c r="N31" s="17">
        <v>333345</v>
      </c>
      <c r="O31" s="17">
        <v>197066</v>
      </c>
      <c r="P31" s="17">
        <v>51451</v>
      </c>
      <c r="Q31" s="17">
        <v>555673</v>
      </c>
      <c r="R31" s="17">
        <f t="shared" si="1"/>
        <v>1565287</v>
      </c>
    </row>
    <row r="32" spans="1:18">
      <c r="A32" s="15" t="s">
        <v>71</v>
      </c>
      <c r="B32" s="16" t="s">
        <v>72</v>
      </c>
      <c r="C32" s="17">
        <v>3000000</v>
      </c>
      <c r="D32" s="17"/>
      <c r="E32" s="17">
        <f t="shared" si="0"/>
        <v>3000000</v>
      </c>
      <c r="F32" s="17">
        <v>0</v>
      </c>
      <c r="G32" s="17">
        <v>0</v>
      </c>
      <c r="H32" s="17">
        <v>0</v>
      </c>
      <c r="I32" s="17">
        <v>2061672</v>
      </c>
      <c r="J32" s="17">
        <v>2359639</v>
      </c>
      <c r="K32" s="17">
        <v>777307</v>
      </c>
      <c r="L32" s="17">
        <v>938104</v>
      </c>
      <c r="M32" s="17">
        <v>760971</v>
      </c>
      <c r="N32" s="17">
        <v>953793</v>
      </c>
      <c r="O32" s="17">
        <v>633177</v>
      </c>
      <c r="P32" s="17">
        <v>586472</v>
      </c>
      <c r="Q32" s="17">
        <v>4670172</v>
      </c>
      <c r="R32" s="17">
        <f t="shared" si="1"/>
        <v>13741307</v>
      </c>
    </row>
    <row r="33" spans="1:18">
      <c r="A33" s="15" t="s">
        <v>73</v>
      </c>
      <c r="B33" s="16" t="s">
        <v>74</v>
      </c>
      <c r="C33" s="17">
        <v>20000000</v>
      </c>
      <c r="D33" s="17"/>
      <c r="E33" s="17">
        <f t="shared" si="0"/>
        <v>20000000</v>
      </c>
      <c r="F33" s="17">
        <v>344628</v>
      </c>
      <c r="G33" s="17">
        <v>223471</v>
      </c>
      <c r="H33" s="17">
        <v>322412</v>
      </c>
      <c r="I33" s="17">
        <v>226788</v>
      </c>
      <c r="J33" s="17">
        <v>118454</v>
      </c>
      <c r="K33" s="17">
        <v>96874</v>
      </c>
      <c r="L33" s="17">
        <v>48437</v>
      </c>
      <c r="M33" s="17">
        <v>182548</v>
      </c>
      <c r="N33" s="17">
        <v>132548</v>
      </c>
      <c r="O33" s="17">
        <v>96874</v>
      </c>
      <c r="P33" s="17">
        <v>68454</v>
      </c>
      <c r="Q33" s="17"/>
      <c r="R33" s="17">
        <f t="shared" si="1"/>
        <v>1861488</v>
      </c>
    </row>
    <row r="34" spans="1:18">
      <c r="A34" s="15" t="s">
        <v>75</v>
      </c>
      <c r="B34" s="16" t="s">
        <v>76</v>
      </c>
      <c r="C34" s="17">
        <v>7800000</v>
      </c>
      <c r="D34" s="17"/>
      <c r="E34" s="17">
        <f t="shared" si="0"/>
        <v>7800000</v>
      </c>
      <c r="F34" s="17">
        <v>784566</v>
      </c>
      <c r="G34" s="17">
        <v>654882</v>
      </c>
      <c r="H34" s="17">
        <v>752685</v>
      </c>
      <c r="I34" s="17">
        <v>470682</v>
      </c>
      <c r="J34" s="17">
        <v>551524</v>
      </c>
      <c r="K34" s="17">
        <v>265478</v>
      </c>
      <c r="L34" s="17">
        <v>334014</v>
      </c>
      <c r="M34" s="17">
        <v>360907</v>
      </c>
      <c r="N34" s="17">
        <v>656597</v>
      </c>
      <c r="O34" s="17">
        <v>1476037</v>
      </c>
      <c r="P34" s="17">
        <v>620075</v>
      </c>
      <c r="Q34" s="17">
        <v>3260547</v>
      </c>
      <c r="R34" s="17">
        <f t="shared" si="1"/>
        <v>10187994</v>
      </c>
    </row>
    <row r="35" spans="1:18">
      <c r="A35" s="15" t="s">
        <v>77</v>
      </c>
      <c r="B35" s="16" t="s">
        <v>78</v>
      </c>
      <c r="C35" s="17">
        <v>100000</v>
      </c>
      <c r="D35" s="17"/>
      <c r="E35" s="17">
        <f t="shared" si="0"/>
        <v>100000</v>
      </c>
      <c r="F35" s="17">
        <v>0</v>
      </c>
      <c r="G35" s="17">
        <v>0</v>
      </c>
      <c r="H35" s="17">
        <v>0</v>
      </c>
      <c r="I35" s="17">
        <v>245409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f t="shared" si="1"/>
        <v>245409</v>
      </c>
    </row>
    <row r="36" spans="1:18">
      <c r="A36" s="15" t="s">
        <v>79</v>
      </c>
      <c r="B36" s="16" t="s">
        <v>80</v>
      </c>
      <c r="C36" s="17">
        <v>3000000</v>
      </c>
      <c r="D36" s="17"/>
      <c r="E36" s="17">
        <f t="shared" si="0"/>
        <v>3000000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f t="shared" si="1"/>
        <v>0</v>
      </c>
    </row>
    <row r="37" spans="1:18">
      <c r="A37" s="15" t="s">
        <v>81</v>
      </c>
      <c r="B37" s="16" t="s">
        <v>82</v>
      </c>
      <c r="C37" s="17">
        <v>2000000</v>
      </c>
      <c r="D37" s="17"/>
      <c r="E37" s="17">
        <f t="shared" si="0"/>
        <v>2000000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f t="shared" si="1"/>
        <v>0</v>
      </c>
    </row>
    <row r="38" spans="1:18">
      <c r="A38" s="15" t="s">
        <v>83</v>
      </c>
      <c r="B38" s="16" t="s">
        <v>84</v>
      </c>
      <c r="C38" s="17">
        <v>91000000</v>
      </c>
      <c r="D38" s="17"/>
      <c r="E38" s="17">
        <f t="shared" si="0"/>
        <v>91000000</v>
      </c>
      <c r="F38" s="17">
        <v>3922362</v>
      </c>
      <c r="G38" s="17">
        <v>8131527</v>
      </c>
      <c r="H38" s="17">
        <v>4366585</v>
      </c>
      <c r="I38" s="17">
        <v>611388</v>
      </c>
      <c r="J38" s="17">
        <v>2233879</v>
      </c>
      <c r="K38" s="17">
        <v>11549829</v>
      </c>
      <c r="L38" s="17">
        <v>9070274</v>
      </c>
      <c r="M38" s="17">
        <v>7828038</v>
      </c>
      <c r="N38" s="17">
        <v>5389970</v>
      </c>
      <c r="O38" s="17">
        <v>6722097</v>
      </c>
      <c r="P38" s="17">
        <v>2070095</v>
      </c>
      <c r="Q38" s="17">
        <v>1304668</v>
      </c>
      <c r="R38" s="17">
        <f t="shared" si="1"/>
        <v>63200712</v>
      </c>
    </row>
    <row r="39" spans="1:18">
      <c r="A39" s="15" t="s">
        <v>85</v>
      </c>
      <c r="B39" s="16" t="s">
        <v>86</v>
      </c>
      <c r="C39" s="17">
        <v>23000000</v>
      </c>
      <c r="D39" s="17"/>
      <c r="E39" s="17">
        <f t="shared" si="0"/>
        <v>23000000</v>
      </c>
      <c r="F39" s="17">
        <v>2081032</v>
      </c>
      <c r="G39" s="17">
        <v>1725976</v>
      </c>
      <c r="H39" s="17">
        <v>1748476</v>
      </c>
      <c r="I39" s="17">
        <v>2052512</v>
      </c>
      <c r="J39" s="17">
        <v>2005864</v>
      </c>
      <c r="K39" s="17">
        <v>2309076</v>
      </c>
      <c r="L39" s="17">
        <v>2682260</v>
      </c>
      <c r="M39" s="17">
        <v>1725976</v>
      </c>
      <c r="N39" s="17">
        <v>2518992</v>
      </c>
      <c r="O39" s="17">
        <v>2262428</v>
      </c>
      <c r="P39" s="17">
        <v>2122484</v>
      </c>
      <c r="Q39" s="17">
        <v>1749300</v>
      </c>
      <c r="R39" s="17">
        <f t="shared" si="1"/>
        <v>24984376</v>
      </c>
    </row>
    <row r="40" spans="1:18">
      <c r="A40" s="15" t="s">
        <v>87</v>
      </c>
      <c r="B40" s="16" t="s">
        <v>88</v>
      </c>
      <c r="C40" s="17">
        <v>15000000</v>
      </c>
      <c r="D40" s="17"/>
      <c r="E40" s="17">
        <f t="shared" si="0"/>
        <v>15000000</v>
      </c>
      <c r="F40" s="17">
        <v>819014</v>
      </c>
      <c r="G40" s="17">
        <v>895590</v>
      </c>
      <c r="H40" s="17">
        <f>1897324+175000</f>
        <v>2072324</v>
      </c>
      <c r="I40" s="17">
        <v>872371</v>
      </c>
      <c r="J40" s="17">
        <v>2544139</v>
      </c>
      <c r="K40" s="17">
        <v>3260611</v>
      </c>
      <c r="L40" s="17">
        <v>3914060</v>
      </c>
      <c r="M40" s="17">
        <v>2524237</v>
      </c>
      <c r="N40" s="17">
        <v>2030004</v>
      </c>
      <c r="O40" s="17">
        <v>1403091</v>
      </c>
      <c r="P40" s="17">
        <v>1903958</v>
      </c>
      <c r="Q40" s="17">
        <v>2441312</v>
      </c>
      <c r="R40" s="17">
        <f t="shared" si="1"/>
        <v>24680711</v>
      </c>
    </row>
    <row r="41" spans="1:18">
      <c r="A41" s="15" t="s">
        <v>89</v>
      </c>
      <c r="B41" s="16" t="s">
        <v>90</v>
      </c>
      <c r="C41" s="17">
        <v>89600000</v>
      </c>
      <c r="D41" s="17"/>
      <c r="E41" s="17">
        <f t="shared" si="0"/>
        <v>89600000</v>
      </c>
      <c r="F41" s="17">
        <v>60658628</v>
      </c>
      <c r="G41" s="17">
        <v>59510829</v>
      </c>
      <c r="H41" s="17">
        <v>65847266</v>
      </c>
      <c r="I41" s="17">
        <v>38959374</v>
      </c>
      <c r="J41" s="17">
        <v>31139629</v>
      </c>
      <c r="K41" s="17">
        <v>54003856</v>
      </c>
      <c r="L41" s="17">
        <v>74103506</v>
      </c>
      <c r="M41" s="17">
        <v>61530599</v>
      </c>
      <c r="N41" s="17">
        <v>61370546</v>
      </c>
      <c r="O41" s="17">
        <v>54324645</v>
      </c>
      <c r="P41" s="17">
        <v>53956370</v>
      </c>
      <c r="Q41" s="17">
        <v>63023307</v>
      </c>
      <c r="R41" s="17">
        <f t="shared" si="1"/>
        <v>678428555</v>
      </c>
    </row>
    <row r="42" spans="1:18">
      <c r="A42" s="15" t="s">
        <v>91</v>
      </c>
      <c r="B42" s="16" t="s">
        <v>92</v>
      </c>
      <c r="C42" s="17">
        <v>560000</v>
      </c>
      <c r="D42" s="17"/>
      <c r="E42" s="17">
        <f t="shared" si="0"/>
        <v>560000</v>
      </c>
      <c r="F42" s="17">
        <v>91522</v>
      </c>
      <c r="G42" s="17">
        <v>85644</v>
      </c>
      <c r="H42" s="17">
        <v>53905</v>
      </c>
      <c r="I42" s="17">
        <v>43124</v>
      </c>
      <c r="J42" s="17">
        <v>43124</v>
      </c>
      <c r="K42" s="17">
        <v>75467</v>
      </c>
      <c r="L42" s="17">
        <v>37846</v>
      </c>
      <c r="M42" s="17">
        <v>53905</v>
      </c>
      <c r="N42" s="17">
        <f>10781+64686</f>
        <v>75467</v>
      </c>
      <c r="O42" s="17">
        <v>43124</v>
      </c>
      <c r="P42" s="17">
        <v>32343</v>
      </c>
      <c r="Q42" s="17">
        <v>21482</v>
      </c>
      <c r="R42" s="17">
        <f t="shared" si="1"/>
        <v>656953</v>
      </c>
    </row>
    <row r="43" spans="1:18">
      <c r="A43" s="15" t="s">
        <v>93</v>
      </c>
      <c r="B43" s="16" t="s">
        <v>94</v>
      </c>
      <c r="C43" s="17">
        <v>2000000</v>
      </c>
      <c r="D43" s="17"/>
      <c r="E43" s="17">
        <f t="shared" si="0"/>
        <v>2000000</v>
      </c>
      <c r="F43" s="17">
        <v>28000</v>
      </c>
      <c r="G43" s="17">
        <v>14512</v>
      </c>
      <c r="H43" s="17">
        <v>290000</v>
      </c>
      <c r="I43" s="17">
        <v>304500</v>
      </c>
      <c r="J43" s="17">
        <v>261000</v>
      </c>
      <c r="K43" s="17">
        <v>43536</v>
      </c>
      <c r="L43" s="17">
        <v>29024</v>
      </c>
      <c r="M43" s="17">
        <v>188500</v>
      </c>
      <c r="N43" s="17">
        <v>333500</v>
      </c>
      <c r="O43" s="17">
        <v>261000</v>
      </c>
      <c r="P43" s="17">
        <v>58048</v>
      </c>
      <c r="Q43" s="17">
        <v>29024</v>
      </c>
      <c r="R43" s="17">
        <f t="shared" si="1"/>
        <v>1840644</v>
      </c>
    </row>
    <row r="44" spans="1:18">
      <c r="A44" s="15" t="s">
        <v>95</v>
      </c>
      <c r="B44" s="16" t="s">
        <v>96</v>
      </c>
      <c r="C44" s="17">
        <v>100000</v>
      </c>
      <c r="D44" s="17"/>
      <c r="E44" s="17">
        <f t="shared" si="0"/>
        <v>100000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/>
      <c r="R44" s="17">
        <f t="shared" si="1"/>
        <v>0</v>
      </c>
    </row>
    <row r="45" spans="1:18">
      <c r="A45" s="15" t="s">
        <v>97</v>
      </c>
      <c r="B45" s="16" t="s">
        <v>98</v>
      </c>
      <c r="C45" s="17">
        <v>2000000</v>
      </c>
      <c r="D45" s="17"/>
      <c r="E45" s="17">
        <f t="shared" si="0"/>
        <v>2000000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/>
      <c r="R45" s="17">
        <f t="shared" si="1"/>
        <v>0</v>
      </c>
    </row>
    <row r="46" spans="1:18">
      <c r="A46" s="15" t="s">
        <v>99</v>
      </c>
      <c r="B46" s="16" t="s">
        <v>100</v>
      </c>
      <c r="C46" s="17">
        <v>13000000</v>
      </c>
      <c r="D46" s="17"/>
      <c r="E46" s="17">
        <f t="shared" si="0"/>
        <v>13000000</v>
      </c>
      <c r="F46" s="17">
        <v>1246972</v>
      </c>
      <c r="G46" s="17">
        <v>998426</v>
      </c>
      <c r="H46" s="17">
        <v>1158746</v>
      </c>
      <c r="I46" s="17">
        <v>1547988</v>
      </c>
      <c r="J46" s="17">
        <v>1193506</v>
      </c>
      <c r="K46" s="17">
        <v>895169</v>
      </c>
      <c r="L46" s="17">
        <v>1970484</v>
      </c>
      <c r="M46" s="17">
        <v>1304962</v>
      </c>
      <c r="N46" s="17">
        <v>1316458</v>
      </c>
      <c r="O46" s="17">
        <v>2746656</v>
      </c>
      <c r="P46" s="17">
        <v>2060141</v>
      </c>
      <c r="Q46" s="17">
        <v>11908045</v>
      </c>
      <c r="R46" s="17">
        <f t="shared" si="1"/>
        <v>28347553</v>
      </c>
    </row>
    <row r="47" spans="1:18">
      <c r="A47" s="15" t="s">
        <v>101</v>
      </c>
      <c r="B47" s="16" t="s">
        <v>102</v>
      </c>
      <c r="C47" s="17">
        <v>2000000</v>
      </c>
      <c r="D47" s="17"/>
      <c r="E47" s="17">
        <f t="shared" si="0"/>
        <v>2000000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/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f t="shared" si="1"/>
        <v>0</v>
      </c>
    </row>
    <row r="48" spans="1:18">
      <c r="A48" s="15" t="s">
        <v>103</v>
      </c>
      <c r="B48" s="16" t="s">
        <v>104</v>
      </c>
      <c r="C48" s="17">
        <v>2000000</v>
      </c>
      <c r="D48" s="17"/>
      <c r="E48" s="17">
        <f t="shared" si="0"/>
        <v>2000000</v>
      </c>
      <c r="F48" s="17">
        <v>69842</v>
      </c>
      <c r="G48" s="17">
        <v>46552</v>
      </c>
      <c r="H48" s="17">
        <v>65822</v>
      </c>
      <c r="I48" s="17">
        <v>51482</v>
      </c>
      <c r="J48" s="17">
        <v>26542</v>
      </c>
      <c r="K48" s="17">
        <v>38456</v>
      </c>
      <c r="L48" s="17">
        <v>38456</v>
      </c>
      <c r="M48" s="17">
        <v>32584</v>
      </c>
      <c r="N48" s="17">
        <v>44892</v>
      </c>
      <c r="O48" s="17">
        <v>0</v>
      </c>
      <c r="P48" s="17">
        <v>0</v>
      </c>
      <c r="Q48" s="17">
        <v>0</v>
      </c>
      <c r="R48" s="17">
        <f t="shared" si="1"/>
        <v>414628</v>
      </c>
    </row>
    <row r="49" spans="1:22">
      <c r="A49" s="15" t="s">
        <v>105</v>
      </c>
      <c r="B49" s="16" t="s">
        <v>106</v>
      </c>
      <c r="C49" s="17">
        <v>15000000</v>
      </c>
      <c r="D49" s="17"/>
      <c r="E49" s="17">
        <f t="shared" si="0"/>
        <v>15000000</v>
      </c>
      <c r="F49" s="17">
        <v>2456844</v>
      </c>
      <c r="G49" s="17">
        <v>1652344</v>
      </c>
      <c r="H49" s="17">
        <v>1344342</v>
      </c>
      <c r="I49" s="17">
        <v>1578104</v>
      </c>
      <c r="J49" s="17">
        <v>1542238</v>
      </c>
      <c r="K49" s="17">
        <v>1775367</v>
      </c>
      <c r="L49" s="17">
        <v>2062295</v>
      </c>
      <c r="M49" s="17">
        <v>1327042</v>
      </c>
      <c r="N49" s="17">
        <f>1936734+4354</f>
        <v>1941088</v>
      </c>
      <c r="O49" s="17">
        <v>1739501</v>
      </c>
      <c r="P49" s="17">
        <v>1631903</v>
      </c>
      <c r="Q49" s="17">
        <v>1344975</v>
      </c>
      <c r="R49" s="17">
        <f t="shared" si="1"/>
        <v>20396043</v>
      </c>
    </row>
    <row r="50" spans="1:22">
      <c r="A50" s="15" t="s">
        <v>107</v>
      </c>
      <c r="B50" s="16" t="s">
        <v>108</v>
      </c>
      <c r="C50" s="17">
        <v>14600000</v>
      </c>
      <c r="D50" s="17"/>
      <c r="E50" s="17">
        <f t="shared" si="0"/>
        <v>14600000</v>
      </c>
      <c r="F50" s="17">
        <v>1985462</v>
      </c>
      <c r="G50" s="17">
        <v>1389124</v>
      </c>
      <c r="H50" s="17">
        <v>1564228</v>
      </c>
      <c r="I50" s="17">
        <v>467892</v>
      </c>
      <c r="J50" s="17">
        <v>358974</v>
      </c>
      <c r="K50" s="17">
        <f>445876+87660</f>
        <v>533536</v>
      </c>
      <c r="L50" s="17">
        <v>2897461</v>
      </c>
      <c r="M50" s="17">
        <v>895744</v>
      </c>
      <c r="N50" s="17">
        <v>2058974</v>
      </c>
      <c r="O50" s="17">
        <v>1535874</v>
      </c>
      <c r="P50" s="17">
        <f>985742+43305</f>
        <v>1029047</v>
      </c>
      <c r="Q50" s="17">
        <v>985642</v>
      </c>
      <c r="R50" s="17">
        <f t="shared" si="1"/>
        <v>15701958</v>
      </c>
    </row>
    <row r="51" spans="1:22">
      <c r="A51" s="18"/>
      <c r="B51" s="19" t="s">
        <v>109</v>
      </c>
      <c r="C51" s="20">
        <f>SUM(C8:C50)</f>
        <v>7263000000</v>
      </c>
      <c r="D51" s="20">
        <f>SUM(D8:D50)</f>
        <v>0</v>
      </c>
      <c r="E51" s="20">
        <f>+C51+D51</f>
        <v>7263000000</v>
      </c>
      <c r="F51" s="20">
        <f t="shared" ref="F51:R51" si="2">SUM(F8:F50)</f>
        <v>603527186</v>
      </c>
      <c r="G51" s="20">
        <f t="shared" si="2"/>
        <v>541221545</v>
      </c>
      <c r="H51" s="20">
        <f t="shared" si="2"/>
        <v>588458981</v>
      </c>
      <c r="I51" s="20">
        <f t="shared" si="2"/>
        <v>533318447</v>
      </c>
      <c r="J51" s="20">
        <f t="shared" si="2"/>
        <v>893601095</v>
      </c>
      <c r="K51" s="20">
        <f t="shared" si="2"/>
        <v>657136837</v>
      </c>
      <c r="L51" s="20">
        <f t="shared" si="2"/>
        <v>682935709</v>
      </c>
      <c r="M51" s="20">
        <f t="shared" si="2"/>
        <v>540573293</v>
      </c>
      <c r="N51" s="20">
        <f t="shared" si="2"/>
        <v>483841608</v>
      </c>
      <c r="O51" s="20">
        <f t="shared" si="2"/>
        <v>439608074</v>
      </c>
      <c r="P51" s="20">
        <f>SUM(P8:P50)</f>
        <v>629474246</v>
      </c>
      <c r="Q51" s="20">
        <f>SUM(Q8:Q50)</f>
        <v>1298081914</v>
      </c>
      <c r="R51" s="20">
        <f t="shared" si="2"/>
        <v>7891778935</v>
      </c>
      <c r="S51" s="23"/>
      <c r="T51" s="23"/>
    </row>
    <row r="52" spans="1:22">
      <c r="A52" s="13">
        <v>2</v>
      </c>
      <c r="B52" s="21" t="s">
        <v>110</v>
      </c>
      <c r="C52" s="17"/>
      <c r="D52" s="17"/>
      <c r="E52" s="17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</row>
    <row r="53" spans="1:22">
      <c r="A53" s="13">
        <v>2.1</v>
      </c>
      <c r="B53" s="14" t="s">
        <v>5</v>
      </c>
      <c r="C53" s="34">
        <v>0</v>
      </c>
      <c r="D53" s="34"/>
      <c r="E53" s="34">
        <f t="shared" ref="E53:E62" si="3">+C53+D53</f>
        <v>0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>
        <f t="shared" ref="R53:R62" si="4">F53+G53+H53+I53+J53+K53+L53+M53+N53+O53+P53+Q53</f>
        <v>0</v>
      </c>
    </row>
    <row r="54" spans="1:22">
      <c r="A54" s="13">
        <v>2.2000000000000002</v>
      </c>
      <c r="B54" s="14" t="s">
        <v>6</v>
      </c>
      <c r="C54" s="34">
        <v>200000000</v>
      </c>
      <c r="D54" s="34">
        <v>2079817986</v>
      </c>
      <c r="E54" s="34">
        <f t="shared" si="3"/>
        <v>2279817986</v>
      </c>
      <c r="F54" s="25"/>
      <c r="G54" s="25"/>
      <c r="H54" s="25"/>
      <c r="I54" s="25"/>
      <c r="J54" s="25"/>
      <c r="K54" s="17">
        <v>2079817986</v>
      </c>
      <c r="L54" s="25"/>
      <c r="M54" s="25"/>
      <c r="N54" s="25"/>
      <c r="O54" s="25"/>
      <c r="P54" s="25"/>
      <c r="Q54" s="25"/>
      <c r="R54" s="17">
        <f t="shared" si="4"/>
        <v>2079817986</v>
      </c>
    </row>
    <row r="55" spans="1:22">
      <c r="A55" s="13">
        <v>2.2999999999999998</v>
      </c>
      <c r="B55" s="14" t="s">
        <v>7</v>
      </c>
      <c r="C55" s="34">
        <v>2500000000</v>
      </c>
      <c r="D55" s="34"/>
      <c r="E55" s="34">
        <f t="shared" si="3"/>
        <v>2500000000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17">
        <f t="shared" si="4"/>
        <v>0</v>
      </c>
    </row>
    <row r="56" spans="1:22">
      <c r="A56" s="15" t="s">
        <v>171</v>
      </c>
      <c r="B56" s="35" t="s">
        <v>172</v>
      </c>
      <c r="C56" s="17">
        <v>935000000</v>
      </c>
      <c r="D56" s="17"/>
      <c r="E56" s="17">
        <f t="shared" si="3"/>
        <v>935000000</v>
      </c>
      <c r="F56" s="17">
        <f>3639112+20286094+1223718+6934361+10546987</f>
        <v>42630272</v>
      </c>
      <c r="G56" s="17">
        <v>32804923</v>
      </c>
      <c r="H56" s="17">
        <f>3789958+20803713+217904+1234779+13000000+500000</f>
        <v>39546354</v>
      </c>
      <c r="I56" s="17">
        <v>37546659</v>
      </c>
      <c r="J56" s="17">
        <f>2547562+13834404+523052+2963940+20000000</f>
        <v>39868958</v>
      </c>
      <c r="K56" s="17">
        <f>49987546+180000000</f>
        <v>229987546</v>
      </c>
      <c r="L56" s="17">
        <f>44975479+2857062+15061617</f>
        <v>62894158</v>
      </c>
      <c r="M56" s="17">
        <v>47080283</v>
      </c>
      <c r="N56" s="17">
        <f>48038646-2961547</f>
        <v>45077099</v>
      </c>
      <c r="O56" s="17">
        <v>42893546</v>
      </c>
      <c r="P56" s="17">
        <v>44346878</v>
      </c>
      <c r="Q56" s="17">
        <v>47080381</v>
      </c>
      <c r="R56" s="17">
        <f t="shared" si="4"/>
        <v>711757057</v>
      </c>
      <c r="V56" s="23"/>
    </row>
    <row r="57" spans="1:22">
      <c r="A57" s="15" t="s">
        <v>173</v>
      </c>
      <c r="B57" s="35" t="s">
        <v>174</v>
      </c>
      <c r="C57" s="17">
        <v>145000000</v>
      </c>
      <c r="D57" s="17"/>
      <c r="E57" s="17">
        <f t="shared" si="3"/>
        <v>145000000</v>
      </c>
      <c r="F57" s="17">
        <v>17896524</v>
      </c>
      <c r="G57" s="17">
        <v>12489736</v>
      </c>
      <c r="H57" s="17">
        <v>16897452</v>
      </c>
      <c r="I57" s="17">
        <f>9582055+400000</f>
        <v>9982055</v>
      </c>
      <c r="J57" s="17">
        <v>20415874</v>
      </c>
      <c r="K57" s="17">
        <f>26142687+93915</f>
        <v>26236602</v>
      </c>
      <c r="L57" s="17">
        <f>20000000+723196+4098102</f>
        <v>24821298</v>
      </c>
      <c r="M57" s="17">
        <v>15120458</v>
      </c>
      <c r="N57" s="17">
        <v>21370546</v>
      </c>
      <c r="O57" s="17">
        <v>16200120</v>
      </c>
      <c r="P57" s="17">
        <v>13826392</v>
      </c>
      <c r="Q57" s="17">
        <v>15006988</v>
      </c>
      <c r="R57" s="17">
        <f t="shared" si="4"/>
        <v>210264045</v>
      </c>
      <c r="S57" s="23"/>
    </row>
    <row r="58" spans="1:22">
      <c r="A58" s="15" t="s">
        <v>175</v>
      </c>
      <c r="B58" s="35" t="s">
        <v>176</v>
      </c>
      <c r="C58" s="17">
        <v>190000000</v>
      </c>
      <c r="D58" s="17"/>
      <c r="E58" s="17">
        <f t="shared" si="3"/>
        <v>190000000</v>
      </c>
      <c r="F58" s="17">
        <v>23904329</v>
      </c>
      <c r="G58" s="17">
        <v>22287915</v>
      </c>
      <c r="H58" s="17">
        <v>25825365</v>
      </c>
      <c r="I58" s="17">
        <v>18702975</v>
      </c>
      <c r="J58" s="17">
        <v>20456874</v>
      </c>
      <c r="K58" s="17">
        <v>17685014</v>
      </c>
      <c r="L58" s="17">
        <v>18368147</v>
      </c>
      <c r="M58" s="17">
        <v>16821620</v>
      </c>
      <c r="N58" s="17">
        <f>2961547+15223860</f>
        <v>18185407</v>
      </c>
      <c r="O58" s="17">
        <v>9962393</v>
      </c>
      <c r="P58" s="17">
        <v>8584826</v>
      </c>
      <c r="Q58" s="17">
        <v>11219532</v>
      </c>
      <c r="R58" s="17">
        <f t="shared" si="4"/>
        <v>212004397</v>
      </c>
    </row>
    <row r="59" spans="1:22">
      <c r="A59" s="36" t="s">
        <v>177</v>
      </c>
      <c r="B59" s="35" t="s">
        <v>178</v>
      </c>
      <c r="C59" s="17">
        <v>635000000</v>
      </c>
      <c r="D59" s="17"/>
      <c r="E59" s="17">
        <f t="shared" si="3"/>
        <v>635000000</v>
      </c>
      <c r="F59" s="17">
        <v>15248633</v>
      </c>
      <c r="G59" s="17">
        <v>11425873</v>
      </c>
      <c r="H59" s="17">
        <v>19895634</v>
      </c>
      <c r="I59" s="17">
        <v>21452854</v>
      </c>
      <c r="J59" s="17">
        <v>24897566</v>
      </c>
      <c r="K59" s="17">
        <v>18754624</v>
      </c>
      <c r="L59" s="17">
        <f>14524688+3286260</f>
        <v>17810948</v>
      </c>
      <c r="M59" s="17">
        <f>14445754+2670337</f>
        <v>17116091</v>
      </c>
      <c r="N59" s="17">
        <f>2392312+12890766+565578+3204931+20000000</f>
        <v>39053587</v>
      </c>
      <c r="O59" s="60">
        <v>26615015</v>
      </c>
      <c r="P59" s="60">
        <v>25126197</v>
      </c>
      <c r="Q59" s="60">
        <v>16524832</v>
      </c>
      <c r="R59" s="17">
        <f t="shared" si="4"/>
        <v>253921854</v>
      </c>
    </row>
    <row r="60" spans="1:22">
      <c r="A60" s="15" t="s">
        <v>179</v>
      </c>
      <c r="B60" s="35" t="s">
        <v>180</v>
      </c>
      <c r="C60" s="17">
        <v>595000000</v>
      </c>
      <c r="D60" s="17"/>
      <c r="E60" s="17">
        <f t="shared" si="3"/>
        <v>595000000</v>
      </c>
      <c r="F60" s="17">
        <f>14456822+725438</f>
        <v>15182260</v>
      </c>
      <c r="G60" s="17">
        <v>10486322</v>
      </c>
      <c r="H60" s="17">
        <v>18789412</v>
      </c>
      <c r="I60" s="17">
        <v>19546428</v>
      </c>
      <c r="J60" s="17">
        <v>21457846</v>
      </c>
      <c r="K60" s="17">
        <v>21589722</v>
      </c>
      <c r="L60" s="17">
        <v>32354785</v>
      </c>
      <c r="M60" s="17">
        <f>29864794-49438</f>
        <v>29815356</v>
      </c>
      <c r="N60" s="17">
        <v>37074125</v>
      </c>
      <c r="O60" s="17">
        <v>23585400</v>
      </c>
      <c r="P60" s="17">
        <v>19874266</v>
      </c>
      <c r="Q60" s="17">
        <v>17564282</v>
      </c>
      <c r="R60" s="17">
        <f t="shared" si="4"/>
        <v>267320204</v>
      </c>
    </row>
    <row r="61" spans="1:22">
      <c r="A61" s="13">
        <v>2.4</v>
      </c>
      <c r="B61" s="14" t="s">
        <v>8</v>
      </c>
      <c r="C61" s="34">
        <v>6000000</v>
      </c>
      <c r="D61" s="34"/>
      <c r="E61" s="34">
        <f t="shared" si="3"/>
        <v>6000000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>
        <f t="shared" si="4"/>
        <v>0</v>
      </c>
    </row>
    <row r="62" spans="1:22">
      <c r="A62" s="13">
        <v>2.5</v>
      </c>
      <c r="B62" s="14" t="s">
        <v>9</v>
      </c>
      <c r="C62" s="34">
        <v>1000000</v>
      </c>
      <c r="D62" s="34"/>
      <c r="E62" s="34">
        <f t="shared" si="3"/>
        <v>1000000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>
        <f t="shared" si="4"/>
        <v>0</v>
      </c>
    </row>
    <row r="63" spans="1:22">
      <c r="A63" s="18"/>
      <c r="B63" s="19" t="s">
        <v>111</v>
      </c>
      <c r="C63" s="20">
        <f>C54+C55+C61+C62</f>
        <v>2707000000</v>
      </c>
      <c r="D63" s="20">
        <f>D54+D55+D61+D62</f>
        <v>2079817986</v>
      </c>
      <c r="E63" s="20">
        <f>+C63+D63</f>
        <v>4786817986</v>
      </c>
      <c r="F63" s="20">
        <f>F56+F57+F58+F59+F60+F61+F62</f>
        <v>114862018</v>
      </c>
      <c r="G63" s="20">
        <f>G56+G57+G58+G59+G60+G61+G62</f>
        <v>89494769</v>
      </c>
      <c r="H63" s="20">
        <f>H56+H57+H58+H59+H60+H61+H62</f>
        <v>120954217</v>
      </c>
      <c r="I63" s="20">
        <f>I56+I57+I58+I59+I60+I61+I62</f>
        <v>107230971</v>
      </c>
      <c r="J63" s="20">
        <f>J56+J57+J58+J59+J60+J61+J62</f>
        <v>127097118</v>
      </c>
      <c r="K63" s="20">
        <f t="shared" ref="K63:R63" si="5">K54+K56+K57+K58+K59+K60+K61+K62</f>
        <v>2394071494</v>
      </c>
      <c r="L63" s="20">
        <f t="shared" si="5"/>
        <v>156249336</v>
      </c>
      <c r="M63" s="20">
        <f t="shared" si="5"/>
        <v>125953808</v>
      </c>
      <c r="N63" s="20">
        <f t="shared" si="5"/>
        <v>160760764</v>
      </c>
      <c r="O63" s="20">
        <f t="shared" si="5"/>
        <v>119256474</v>
      </c>
      <c r="P63" s="20">
        <f t="shared" si="5"/>
        <v>111758559</v>
      </c>
      <c r="Q63" s="20">
        <f t="shared" si="5"/>
        <v>107396015</v>
      </c>
      <c r="R63" s="20">
        <f t="shared" si="5"/>
        <v>3735085543</v>
      </c>
      <c r="S63" s="23"/>
    </row>
    <row r="64" spans="1:22" ht="15.75">
      <c r="A64" s="70" t="s">
        <v>218</v>
      </c>
      <c r="B64" s="70"/>
      <c r="C64" s="22">
        <f t="shared" ref="C64:Q64" si="6">C51+C63</f>
        <v>9970000000</v>
      </c>
      <c r="D64" s="22">
        <f t="shared" si="6"/>
        <v>2079817986</v>
      </c>
      <c r="E64" s="22">
        <f>+E51+E54+E55+E61+E62</f>
        <v>12049817986</v>
      </c>
      <c r="F64" s="22">
        <f t="shared" si="6"/>
        <v>718389204</v>
      </c>
      <c r="G64" s="22">
        <f t="shared" si="6"/>
        <v>630716314</v>
      </c>
      <c r="H64" s="22">
        <f t="shared" si="6"/>
        <v>709413198</v>
      </c>
      <c r="I64" s="22">
        <f t="shared" si="6"/>
        <v>640549418</v>
      </c>
      <c r="J64" s="22">
        <f t="shared" si="6"/>
        <v>1020698213</v>
      </c>
      <c r="K64" s="22">
        <f t="shared" si="6"/>
        <v>3051208331</v>
      </c>
      <c r="L64" s="22">
        <f t="shared" si="6"/>
        <v>839185045</v>
      </c>
      <c r="M64" s="22">
        <f t="shared" si="6"/>
        <v>666527101</v>
      </c>
      <c r="N64" s="22">
        <f t="shared" si="6"/>
        <v>644602372</v>
      </c>
      <c r="O64" s="22">
        <f t="shared" si="6"/>
        <v>558864548</v>
      </c>
      <c r="P64" s="22">
        <f t="shared" si="6"/>
        <v>741232805</v>
      </c>
      <c r="Q64" s="22">
        <f t="shared" si="6"/>
        <v>1405477929</v>
      </c>
      <c r="R64" s="22">
        <f>R51+R63</f>
        <v>11626864478</v>
      </c>
    </row>
    <row r="65" spans="4:18"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4:18">
      <c r="D66" s="23"/>
      <c r="L66" s="47"/>
      <c r="M66" s="64"/>
      <c r="N66" s="47"/>
      <c r="O66" s="47"/>
      <c r="P66" s="47"/>
      <c r="Q66" s="47"/>
      <c r="R66" s="23"/>
    </row>
    <row r="67" spans="4:18">
      <c r="N67" s="23"/>
      <c r="O67" s="23"/>
      <c r="P67" s="23"/>
      <c r="Q67" s="23"/>
    </row>
    <row r="69" spans="4:18" ht="15" customHeight="1"/>
    <row r="71" spans="4:18">
      <c r="I71" s="63"/>
    </row>
    <row r="72" spans="4:18" ht="15" customHeight="1">
      <c r="I72" s="63"/>
    </row>
    <row r="73" spans="4:18">
      <c r="I73" s="63"/>
    </row>
    <row r="74" spans="4:18">
      <c r="I74" s="63"/>
    </row>
    <row r="75" spans="4:18">
      <c r="I75" s="63"/>
    </row>
    <row r="76" spans="4:18">
      <c r="I76" s="63"/>
    </row>
    <row r="77" spans="4:18">
      <c r="I77" s="63"/>
    </row>
    <row r="78" spans="4:18">
      <c r="I78" s="63"/>
    </row>
    <row r="79" spans="4:18">
      <c r="I79" s="63"/>
    </row>
    <row r="80" spans="4:18">
      <c r="I80" s="63"/>
    </row>
    <row r="81" spans="9:9">
      <c r="I81" s="63"/>
    </row>
  </sheetData>
  <mergeCells count="22">
    <mergeCell ref="A1:R1"/>
    <mergeCell ref="A2:R2"/>
    <mergeCell ref="A3:R3"/>
    <mergeCell ref="G5:G6"/>
    <mergeCell ref="F5:F6"/>
    <mergeCell ref="E5:E6"/>
    <mergeCell ref="D5:D6"/>
    <mergeCell ref="C5:C6"/>
    <mergeCell ref="K5:K6"/>
    <mergeCell ref="R5:R6"/>
    <mergeCell ref="I5:I6"/>
    <mergeCell ref="J5:J6"/>
    <mergeCell ref="H5:H6"/>
    <mergeCell ref="L5:L6"/>
    <mergeCell ref="Q5:Q6"/>
    <mergeCell ref="M5:M6"/>
    <mergeCell ref="N5:N6"/>
    <mergeCell ref="O5:O6"/>
    <mergeCell ref="P5:P6"/>
    <mergeCell ref="A64:B64"/>
    <mergeCell ref="B5:B6"/>
    <mergeCell ref="A5:A6"/>
  </mergeCells>
  <pageMargins left="1.32" right="0.17" top="0.61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7"/>
  <sheetViews>
    <sheetView tabSelected="1" topLeftCell="K31" workbookViewId="0">
      <selection activeCell="T79" sqref="T79"/>
    </sheetView>
  </sheetViews>
  <sheetFormatPr baseColWidth="10" defaultRowHeight="15"/>
  <cols>
    <col min="2" max="2" width="43.42578125" customWidth="1"/>
    <col min="3" max="3" width="15.7109375" customWidth="1"/>
    <col min="4" max="4" width="15" customWidth="1"/>
    <col min="5" max="5" width="15.140625" customWidth="1"/>
    <col min="6" max="6" width="15.7109375" customWidth="1"/>
    <col min="7" max="7" width="16.85546875" bestFit="1" customWidth="1"/>
    <col min="8" max="8" width="18.7109375" style="45" customWidth="1"/>
    <col min="9" max="9" width="18.28515625" style="43" customWidth="1"/>
    <col min="10" max="10" width="19.140625" style="43" customWidth="1"/>
    <col min="11" max="11" width="19" style="43" customWidth="1"/>
    <col min="12" max="12" width="21.42578125" style="43" customWidth="1"/>
    <col min="13" max="13" width="17.85546875" style="43" customWidth="1"/>
    <col min="14" max="14" width="19.85546875" style="43" customWidth="1"/>
    <col min="15" max="15" width="18.28515625" style="43" customWidth="1"/>
    <col min="16" max="16" width="17.7109375" style="43" customWidth="1"/>
    <col min="17" max="17" width="18.42578125" style="43" customWidth="1"/>
    <col min="18" max="18" width="21.5703125" style="43" customWidth="1"/>
    <col min="19" max="19" width="19.42578125" customWidth="1"/>
    <col min="20" max="20" width="18" customWidth="1"/>
    <col min="21" max="21" width="16.42578125" customWidth="1"/>
  </cols>
  <sheetData>
    <row r="1" spans="1:21" ht="15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1" ht="15.75">
      <c r="A2" s="71" t="s">
        <v>224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21" ht="15.75">
      <c r="A3" s="71" t="s">
        <v>223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21" ht="17.25" customHeight="1">
      <c r="A4" s="73" t="s">
        <v>24</v>
      </c>
      <c r="B4" s="73" t="s">
        <v>112</v>
      </c>
      <c r="C4" s="73" t="s">
        <v>181</v>
      </c>
      <c r="D4" s="72" t="s">
        <v>185</v>
      </c>
      <c r="E4" s="72"/>
      <c r="F4" s="73" t="s">
        <v>186</v>
      </c>
      <c r="G4" s="73" t="s">
        <v>191</v>
      </c>
      <c r="H4" s="73" t="s">
        <v>187</v>
      </c>
      <c r="I4" s="73" t="s">
        <v>188</v>
      </c>
      <c r="J4" s="73" t="s">
        <v>197</v>
      </c>
      <c r="K4" s="73" t="s">
        <v>200</v>
      </c>
      <c r="L4" s="73" t="s">
        <v>201</v>
      </c>
      <c r="M4" s="73" t="s">
        <v>205</v>
      </c>
      <c r="N4" s="73" t="s">
        <v>210</v>
      </c>
      <c r="O4" s="73" t="s">
        <v>212</v>
      </c>
      <c r="P4" s="73" t="s">
        <v>213</v>
      </c>
      <c r="Q4" s="73" t="s">
        <v>216</v>
      </c>
      <c r="R4" s="73" t="s">
        <v>219</v>
      </c>
      <c r="S4" s="73" t="s">
        <v>221</v>
      </c>
      <c r="T4" s="73" t="s">
        <v>227</v>
      </c>
      <c r="U4" s="73" t="s">
        <v>199</v>
      </c>
    </row>
    <row r="5" spans="1:21" s="46" customFormat="1" ht="15" customHeight="1">
      <c r="A5" s="74"/>
      <c r="B5" s="74"/>
      <c r="C5" s="74"/>
      <c r="D5" s="59" t="s">
        <v>189</v>
      </c>
      <c r="E5" s="59" t="s">
        <v>190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ht="15.75">
      <c r="A6" s="24"/>
      <c r="B6" s="33" t="s">
        <v>10</v>
      </c>
      <c r="C6" s="38"/>
      <c r="D6" s="25"/>
      <c r="E6" s="25"/>
      <c r="F6" s="38"/>
      <c r="G6" s="25"/>
      <c r="H6" s="44"/>
      <c r="I6" s="42"/>
      <c r="J6" s="42"/>
      <c r="K6" s="42"/>
      <c r="L6" s="42"/>
      <c r="M6" s="42"/>
      <c r="N6" s="42"/>
      <c r="O6" s="42"/>
      <c r="P6" s="42"/>
      <c r="Q6" s="42"/>
      <c r="R6" s="42"/>
      <c r="S6" s="25"/>
      <c r="T6" s="25"/>
      <c r="U6" s="25"/>
    </row>
    <row r="7" spans="1:21" ht="15" customHeight="1">
      <c r="A7" s="25"/>
      <c r="B7" s="26" t="s">
        <v>113</v>
      </c>
      <c r="C7" s="39"/>
      <c r="D7" s="25"/>
      <c r="E7" s="25"/>
      <c r="F7" s="39"/>
      <c r="G7" s="25"/>
      <c r="H7" s="44"/>
      <c r="I7" s="42"/>
      <c r="J7" s="42"/>
      <c r="K7" s="42"/>
      <c r="L7" s="42"/>
      <c r="M7" s="42"/>
      <c r="N7" s="42"/>
      <c r="O7" s="42"/>
      <c r="P7" s="42"/>
      <c r="Q7" s="42"/>
      <c r="R7" s="42"/>
      <c r="S7" s="25"/>
      <c r="T7" s="25"/>
      <c r="U7" s="25"/>
    </row>
    <row r="8" spans="1:21">
      <c r="A8" s="26">
        <v>30501</v>
      </c>
      <c r="B8" s="26" t="s">
        <v>114</v>
      </c>
      <c r="C8" s="39">
        <f>SUM(C9:C19)</f>
        <v>3313500000</v>
      </c>
      <c r="D8" s="39">
        <f>SUM(D9:D19)</f>
        <v>16000000</v>
      </c>
      <c r="E8" s="39">
        <f>SUM(E9:E19)</f>
        <v>224000000</v>
      </c>
      <c r="F8" s="39">
        <f>SUM(F9:F19)</f>
        <v>0</v>
      </c>
      <c r="G8" s="39">
        <f>SUM(G9:G19)</f>
        <v>3105500000</v>
      </c>
      <c r="H8" s="39">
        <f t="shared" ref="H8:P8" si="0">SUM(H9:H19)</f>
        <v>207052771</v>
      </c>
      <c r="I8" s="39">
        <f t="shared" si="0"/>
        <v>180217582</v>
      </c>
      <c r="J8" s="39">
        <f t="shared" si="0"/>
        <v>198987832</v>
      </c>
      <c r="K8" s="39">
        <f t="shared" si="0"/>
        <v>210510460</v>
      </c>
      <c r="L8" s="39">
        <f t="shared" si="0"/>
        <v>190245407</v>
      </c>
      <c r="M8" s="39">
        <f t="shared" si="0"/>
        <v>255430622</v>
      </c>
      <c r="N8" s="39">
        <f t="shared" si="0"/>
        <v>310744864</v>
      </c>
      <c r="O8" s="39">
        <f t="shared" si="0"/>
        <v>240169665</v>
      </c>
      <c r="P8" s="39">
        <f t="shared" si="0"/>
        <v>205702623</v>
      </c>
      <c r="Q8" s="39">
        <f>SUM(Q9:Q19)</f>
        <v>234212555</v>
      </c>
      <c r="R8" s="39">
        <f>SUM(R9:R19)</f>
        <v>222593298</v>
      </c>
      <c r="S8" s="39">
        <f>SUM(S9:S19)</f>
        <v>444534137</v>
      </c>
      <c r="T8" s="39">
        <f>SUM(T9:T19)</f>
        <v>2900401816</v>
      </c>
      <c r="U8" s="49">
        <f>SUM(U9:U19)</f>
        <v>205098184</v>
      </c>
    </row>
    <row r="9" spans="1:21">
      <c r="A9" s="13">
        <v>30501180401</v>
      </c>
      <c r="B9" s="13" t="s">
        <v>115</v>
      </c>
      <c r="C9" s="40">
        <v>2475000000</v>
      </c>
      <c r="D9" s="25"/>
      <c r="E9" s="40">
        <f>60000000+20000000+4000000+87000000</f>
        <v>171000000</v>
      </c>
      <c r="F9" s="40"/>
      <c r="G9" s="40">
        <f>C9+D9-E9+F9</f>
        <v>2304000000</v>
      </c>
      <c r="H9" s="40">
        <v>160328148</v>
      </c>
      <c r="I9" s="40">
        <v>157230498</v>
      </c>
      <c r="J9" s="40">
        <v>158937609</v>
      </c>
      <c r="K9" s="40">
        <f>7335153+151405450+47551</f>
        <v>158788154</v>
      </c>
      <c r="L9" s="40">
        <f>7374336+151375960+47551</f>
        <v>158797847</v>
      </c>
      <c r="M9" s="40">
        <v>222966722</v>
      </c>
      <c r="N9" s="40">
        <v>190348672</v>
      </c>
      <c r="O9" s="40">
        <v>188485575</v>
      </c>
      <c r="P9" s="40">
        <v>172595522</v>
      </c>
      <c r="Q9" s="40">
        <v>186428791</v>
      </c>
      <c r="R9" s="40">
        <v>187471572</v>
      </c>
      <c r="S9" s="50">
        <v>197411098</v>
      </c>
      <c r="T9" s="50">
        <f>H9+I9+J9+K9+L9+M9+N9+O9+P9+Q9+R9+S9</f>
        <v>2139790208</v>
      </c>
      <c r="U9" s="50">
        <f t="shared" ref="U9:U19" si="1">G9-T9</f>
        <v>164209792</v>
      </c>
    </row>
    <row r="10" spans="1:21">
      <c r="A10" s="13">
        <v>30501180402</v>
      </c>
      <c r="B10" s="13" t="s">
        <v>116</v>
      </c>
      <c r="C10" s="40">
        <v>200000000</v>
      </c>
      <c r="D10" s="40">
        <v>5000000</v>
      </c>
      <c r="E10" s="40"/>
      <c r="F10" s="40"/>
      <c r="G10" s="40">
        <f t="shared" ref="G10:G32" si="2">C10+D10-E10+F10</f>
        <v>205000000</v>
      </c>
      <c r="H10" s="40"/>
      <c r="I10" s="40"/>
      <c r="Q10" s="40">
        <v>0</v>
      </c>
      <c r="S10" s="50">
        <v>203174597</v>
      </c>
      <c r="T10" s="50">
        <f t="shared" ref="T10:T32" si="3">H10+I10+J10+K10+L10+M10+N10+O10+P10+Q10+R10+S10</f>
        <v>203174597</v>
      </c>
      <c r="U10" s="50">
        <f t="shared" si="1"/>
        <v>1825403</v>
      </c>
    </row>
    <row r="11" spans="1:21">
      <c r="A11" s="13">
        <v>30501180403</v>
      </c>
      <c r="B11" s="13" t="s">
        <v>117</v>
      </c>
      <c r="C11" s="40">
        <v>115500000</v>
      </c>
      <c r="D11" s="40"/>
      <c r="E11" s="40"/>
      <c r="F11" s="40"/>
      <c r="G11" s="40">
        <f t="shared" si="2"/>
        <v>115500000</v>
      </c>
      <c r="H11" s="40">
        <v>20545017</v>
      </c>
      <c r="I11" s="40">
        <v>4337186</v>
      </c>
      <c r="J11" s="40">
        <v>5809862</v>
      </c>
      <c r="K11" s="40">
        <v>5239396</v>
      </c>
      <c r="L11" s="40">
        <v>5027959</v>
      </c>
      <c r="M11" s="40">
        <v>5057264</v>
      </c>
      <c r="N11" s="40">
        <v>7404753</v>
      </c>
      <c r="O11" s="40">
        <v>10280217</v>
      </c>
      <c r="P11" s="40">
        <v>11974257</v>
      </c>
      <c r="Q11" s="40">
        <v>12421900</v>
      </c>
      <c r="R11" s="40">
        <v>7007484</v>
      </c>
      <c r="S11" s="50">
        <v>9052991</v>
      </c>
      <c r="T11" s="50">
        <f t="shared" si="3"/>
        <v>104158286</v>
      </c>
      <c r="U11" s="50">
        <f t="shared" si="1"/>
        <v>11341714</v>
      </c>
    </row>
    <row r="12" spans="1:21">
      <c r="A12" s="13">
        <v>30501180404</v>
      </c>
      <c r="B12" s="13" t="s">
        <v>118</v>
      </c>
      <c r="C12" s="40">
        <v>16500000</v>
      </c>
      <c r="D12" s="40"/>
      <c r="E12" s="40"/>
      <c r="F12" s="40"/>
      <c r="G12" s="40">
        <f t="shared" si="2"/>
        <v>16500000</v>
      </c>
      <c r="H12" s="40"/>
      <c r="I12" s="40"/>
      <c r="J12" s="40">
        <v>4336264</v>
      </c>
      <c r="K12" s="40"/>
      <c r="L12" s="40"/>
      <c r="M12" s="40">
        <v>1185146</v>
      </c>
      <c r="N12" s="40">
        <v>2064132</v>
      </c>
      <c r="O12" s="40">
        <v>1324523</v>
      </c>
      <c r="P12" s="40">
        <v>0</v>
      </c>
      <c r="Q12" s="40">
        <v>2168132</v>
      </c>
      <c r="R12" s="40">
        <v>0</v>
      </c>
      <c r="S12" s="50">
        <v>1197989</v>
      </c>
      <c r="T12" s="50">
        <f t="shared" si="3"/>
        <v>12276186</v>
      </c>
      <c r="U12" s="50">
        <f t="shared" si="1"/>
        <v>4223814</v>
      </c>
    </row>
    <row r="13" spans="1:21">
      <c r="A13" s="13">
        <v>30501180405</v>
      </c>
      <c r="B13" s="13" t="s">
        <v>119</v>
      </c>
      <c r="C13" s="40">
        <v>6600000</v>
      </c>
      <c r="D13" s="40"/>
      <c r="E13" s="40">
        <v>4000000</v>
      </c>
      <c r="F13" s="40"/>
      <c r="G13" s="40">
        <f t="shared" si="2"/>
        <v>2600000</v>
      </c>
      <c r="H13" s="40">
        <v>74000</v>
      </c>
      <c r="I13" s="40">
        <v>74000</v>
      </c>
      <c r="J13" s="40">
        <v>19733</v>
      </c>
      <c r="K13" s="40">
        <v>74000</v>
      </c>
      <c r="L13" s="40">
        <v>74000</v>
      </c>
      <c r="M13" s="40"/>
      <c r="N13" s="40">
        <v>74000</v>
      </c>
      <c r="O13" s="40"/>
      <c r="P13" s="40">
        <v>0</v>
      </c>
      <c r="Q13" s="40">
        <v>148000</v>
      </c>
      <c r="R13" s="40">
        <v>148000</v>
      </c>
      <c r="S13" s="50"/>
      <c r="T13" s="50">
        <f t="shared" si="3"/>
        <v>685733</v>
      </c>
      <c r="U13" s="50">
        <f t="shared" si="1"/>
        <v>1914267</v>
      </c>
    </row>
    <row r="14" spans="1:21">
      <c r="A14" s="13">
        <v>30501180406</v>
      </c>
      <c r="B14" s="13" t="s">
        <v>120</v>
      </c>
      <c r="C14" s="40">
        <v>20000000</v>
      </c>
      <c r="D14" s="40">
        <v>5000000</v>
      </c>
      <c r="E14" s="40"/>
      <c r="F14" s="40"/>
      <c r="G14" s="40">
        <f t="shared" si="2"/>
        <v>25000000</v>
      </c>
      <c r="H14" s="40"/>
      <c r="I14" s="40"/>
      <c r="J14" s="40">
        <v>4195876</v>
      </c>
      <c r="K14" s="40">
        <v>20696056</v>
      </c>
      <c r="L14" s="40"/>
      <c r="M14" s="40"/>
      <c r="N14" s="40"/>
      <c r="O14" s="40"/>
      <c r="P14" s="40">
        <v>0</v>
      </c>
      <c r="Q14" s="40"/>
      <c r="R14" s="40"/>
      <c r="S14" s="50"/>
      <c r="T14" s="50">
        <f t="shared" si="3"/>
        <v>24891932</v>
      </c>
      <c r="U14" s="50">
        <f t="shared" si="1"/>
        <v>108068</v>
      </c>
    </row>
    <row r="15" spans="1:21">
      <c r="A15" s="13">
        <v>30501180407</v>
      </c>
      <c r="B15" s="13" t="s">
        <v>121</v>
      </c>
      <c r="C15" s="40">
        <v>1000000</v>
      </c>
      <c r="D15" s="40"/>
      <c r="E15" s="40">
        <v>1000000</v>
      </c>
      <c r="F15" s="40"/>
      <c r="G15" s="40">
        <f t="shared" si="2"/>
        <v>0</v>
      </c>
      <c r="H15" s="40"/>
      <c r="I15" s="40"/>
      <c r="J15" s="40"/>
      <c r="K15" s="40"/>
      <c r="L15" s="40"/>
      <c r="M15" s="40"/>
      <c r="N15" s="40"/>
      <c r="O15" s="40"/>
      <c r="P15" s="40">
        <v>0</v>
      </c>
      <c r="Q15" s="40"/>
      <c r="R15" s="40"/>
      <c r="S15" s="50"/>
      <c r="T15" s="50">
        <f t="shared" si="3"/>
        <v>0</v>
      </c>
      <c r="U15" s="50">
        <f t="shared" si="1"/>
        <v>0</v>
      </c>
    </row>
    <row r="16" spans="1:21">
      <c r="A16" s="13">
        <v>30501180408</v>
      </c>
      <c r="B16" s="13" t="s">
        <v>122</v>
      </c>
      <c r="C16" s="40">
        <v>275000000</v>
      </c>
      <c r="D16" s="40"/>
      <c r="E16" s="40"/>
      <c r="F16" s="40"/>
      <c r="G16" s="40">
        <f t="shared" si="2"/>
        <v>275000000</v>
      </c>
      <c r="H16" s="40">
        <v>22588376</v>
      </c>
      <c r="I16" s="40">
        <v>15135678</v>
      </c>
      <c r="J16" s="40">
        <v>18359840</v>
      </c>
      <c r="K16" s="40">
        <v>24333032</v>
      </c>
      <c r="L16" s="40">
        <v>23055284</v>
      </c>
      <c r="M16" s="40">
        <v>20846534</v>
      </c>
      <c r="N16" s="40">
        <v>19678080</v>
      </c>
      <c r="O16" s="40">
        <v>26356531</v>
      </c>
      <c r="P16" s="40">
        <v>17003335</v>
      </c>
      <c r="Q16" s="40">
        <v>22363747</v>
      </c>
      <c r="R16" s="40">
        <v>24892027</v>
      </c>
      <c r="S16" s="50">
        <v>28547754</v>
      </c>
      <c r="T16" s="50">
        <f t="shared" si="3"/>
        <v>263160218</v>
      </c>
      <c r="U16" s="50">
        <f t="shared" si="1"/>
        <v>11839782</v>
      </c>
    </row>
    <row r="17" spans="1:21">
      <c r="A17" s="13">
        <v>30501180409</v>
      </c>
      <c r="B17" s="13" t="s">
        <v>123</v>
      </c>
      <c r="C17" s="40">
        <v>99000000</v>
      </c>
      <c r="D17" s="40"/>
      <c r="E17" s="40">
        <v>5000000</v>
      </c>
      <c r="F17" s="40"/>
      <c r="G17" s="40">
        <f t="shared" si="2"/>
        <v>94000000</v>
      </c>
      <c r="H17" s="40"/>
      <c r="I17" s="40"/>
      <c r="J17" s="40"/>
      <c r="K17" s="40"/>
      <c r="L17" s="40"/>
      <c r="M17" s="40"/>
      <c r="N17" s="40">
        <v>88093045</v>
      </c>
      <c r="O17" s="40"/>
      <c r="P17" s="40">
        <v>0</v>
      </c>
      <c r="Q17" s="40"/>
      <c r="R17" s="40"/>
      <c r="S17" s="50"/>
      <c r="T17" s="50">
        <f t="shared" si="3"/>
        <v>88093045</v>
      </c>
      <c r="U17" s="50">
        <f t="shared" si="1"/>
        <v>5906955</v>
      </c>
    </row>
    <row r="18" spans="1:21">
      <c r="A18" s="13">
        <v>30501180410</v>
      </c>
      <c r="B18" s="13" t="s">
        <v>124</v>
      </c>
      <c r="C18" s="40">
        <v>88000000</v>
      </c>
      <c r="D18" s="40">
        <v>6000000</v>
      </c>
      <c r="E18" s="40">
        <f>20000000+10000000+8000000</f>
        <v>38000000</v>
      </c>
      <c r="F18" s="40"/>
      <c r="G18" s="40">
        <f t="shared" si="2"/>
        <v>56000000</v>
      </c>
      <c r="H18" s="40">
        <v>2205843</v>
      </c>
      <c r="I18" s="40">
        <v>2889784</v>
      </c>
      <c r="J18" s="40">
        <v>6614926</v>
      </c>
      <c r="K18" s="40">
        <v>727510</v>
      </c>
      <c r="L18" s="40">
        <f>1012888+1652087</f>
        <v>2664975</v>
      </c>
      <c r="M18" s="40">
        <v>4740580</v>
      </c>
      <c r="N18" s="40">
        <v>2161232</v>
      </c>
      <c r="O18" s="40">
        <v>12443101</v>
      </c>
      <c r="P18" s="40">
        <v>4129509</v>
      </c>
      <c r="Q18" s="40">
        <v>9125827</v>
      </c>
      <c r="R18" s="40">
        <v>2202507</v>
      </c>
      <c r="S18" s="50">
        <v>4091752</v>
      </c>
      <c r="T18" s="50">
        <f t="shared" si="3"/>
        <v>53997546</v>
      </c>
      <c r="U18" s="50">
        <f t="shared" si="1"/>
        <v>2002454</v>
      </c>
    </row>
    <row r="19" spans="1:21">
      <c r="A19" s="13">
        <v>30501180411</v>
      </c>
      <c r="B19" s="13" t="s">
        <v>125</v>
      </c>
      <c r="C19" s="40">
        <v>16900000</v>
      </c>
      <c r="D19" s="25"/>
      <c r="E19" s="40">
        <v>5000000</v>
      </c>
      <c r="F19" s="40"/>
      <c r="G19" s="40">
        <f t="shared" si="2"/>
        <v>11900000</v>
      </c>
      <c r="H19" s="40">
        <v>1311387</v>
      </c>
      <c r="I19" s="40">
        <v>550436</v>
      </c>
      <c r="J19" s="40">
        <v>713722</v>
      </c>
      <c r="K19" s="40">
        <v>652312</v>
      </c>
      <c r="L19" s="40">
        <v>625342</v>
      </c>
      <c r="M19" s="40">
        <v>634376</v>
      </c>
      <c r="N19" s="40">
        <v>920950</v>
      </c>
      <c r="O19" s="40">
        <v>1279718</v>
      </c>
      <c r="P19" s="40">
        <v>0</v>
      </c>
      <c r="Q19" s="40">
        <v>1556158</v>
      </c>
      <c r="R19" s="40">
        <v>871708</v>
      </c>
      <c r="S19" s="50">
        <v>1057956</v>
      </c>
      <c r="T19" s="50">
        <f t="shared" si="3"/>
        <v>10174065</v>
      </c>
      <c r="U19" s="50">
        <f t="shared" si="1"/>
        <v>1725935</v>
      </c>
    </row>
    <row r="20" spans="1:21">
      <c r="A20" s="25"/>
      <c r="B20" s="26" t="s">
        <v>126</v>
      </c>
      <c r="C20" s="39">
        <f>SUM(C21:C24)</f>
        <v>999000000</v>
      </c>
      <c r="D20" s="39">
        <f>SUM(D21:D24)</f>
        <v>380000000</v>
      </c>
      <c r="E20" s="39">
        <f>SUM(E21:E24)</f>
        <v>0</v>
      </c>
      <c r="F20" s="39">
        <f>SUM(F21:F24)</f>
        <v>0</v>
      </c>
      <c r="G20" s="39">
        <f>SUM(G21:G24)</f>
        <v>1379000000</v>
      </c>
      <c r="H20" s="39">
        <f t="shared" ref="H20:P20" si="4">SUM(H21:H24)</f>
        <v>74731152</v>
      </c>
      <c r="I20" s="39">
        <f t="shared" si="4"/>
        <v>134739569</v>
      </c>
      <c r="J20" s="39">
        <f t="shared" si="4"/>
        <v>151600318</v>
      </c>
      <c r="K20" s="39">
        <f t="shared" si="4"/>
        <v>141682814</v>
      </c>
      <c r="L20" s="39">
        <f t="shared" si="4"/>
        <v>174434916</v>
      </c>
      <c r="M20" s="39">
        <f t="shared" si="4"/>
        <v>625617287</v>
      </c>
      <c r="N20" s="39">
        <f t="shared" si="4"/>
        <v>0</v>
      </c>
      <c r="O20" s="39">
        <f t="shared" si="4"/>
        <v>0</v>
      </c>
      <c r="P20" s="39">
        <f t="shared" si="4"/>
        <v>18636014</v>
      </c>
      <c r="Q20" s="39">
        <f>SUM(Q21:Q24)</f>
        <v>8666667</v>
      </c>
      <c r="R20" s="39">
        <f>SUM(R21:R24)</f>
        <v>4140000</v>
      </c>
      <c r="S20" s="39">
        <f>SUM(S21:S24)</f>
        <v>19335000</v>
      </c>
      <c r="T20" s="39">
        <f>SUM(T21:T24)</f>
        <v>1353583737</v>
      </c>
      <c r="U20" s="39">
        <f>SUM(U21:U24)</f>
        <v>25416263</v>
      </c>
    </row>
    <row r="21" spans="1:21">
      <c r="A21" s="13">
        <v>30501180413</v>
      </c>
      <c r="B21" s="13" t="s">
        <v>127</v>
      </c>
      <c r="C21" s="40">
        <v>455000000</v>
      </c>
      <c r="D21" s="40">
        <f>8000000+20000000</f>
        <v>28000000</v>
      </c>
      <c r="E21" s="25"/>
      <c r="F21" s="40"/>
      <c r="G21" s="40">
        <f>C21+D21-E21+F21</f>
        <v>483000000</v>
      </c>
      <c r="H21" s="40"/>
      <c r="I21" s="40">
        <v>61500000</v>
      </c>
      <c r="J21" s="40">
        <v>94650904</v>
      </c>
      <c r="K21" s="40">
        <v>52950000</v>
      </c>
      <c r="L21" s="40">
        <v>136800000</v>
      </c>
      <c r="M21" s="40">
        <v>85100000</v>
      </c>
      <c r="N21" s="40"/>
      <c r="O21" s="40"/>
      <c r="P21" s="40">
        <v>18100000</v>
      </c>
      <c r="Q21" s="40">
        <v>8666667</v>
      </c>
      <c r="R21" s="40">
        <v>4140000</v>
      </c>
      <c r="S21" s="50">
        <v>19335000</v>
      </c>
      <c r="T21" s="50">
        <f t="shared" si="3"/>
        <v>481242571</v>
      </c>
      <c r="U21" s="50">
        <f>G21-T21</f>
        <v>1757429</v>
      </c>
    </row>
    <row r="22" spans="1:21">
      <c r="A22" s="13">
        <v>30501180414</v>
      </c>
      <c r="B22" s="27" t="s">
        <v>128</v>
      </c>
      <c r="C22" s="40">
        <v>145000000</v>
      </c>
      <c r="D22" s="40">
        <f>112000000+220000000</f>
        <v>332000000</v>
      </c>
      <c r="E22" s="25"/>
      <c r="F22" s="40"/>
      <c r="G22" s="40">
        <f t="shared" si="2"/>
        <v>477000000</v>
      </c>
      <c r="H22" s="40">
        <v>74731152</v>
      </c>
      <c r="I22" s="40">
        <v>35617569</v>
      </c>
      <c r="J22" s="40">
        <v>33493414</v>
      </c>
      <c r="K22" s="40">
        <v>48216814</v>
      </c>
      <c r="L22" s="40">
        <v>23740952</v>
      </c>
      <c r="M22" s="40">
        <v>250979642</v>
      </c>
      <c r="N22" s="40"/>
      <c r="O22" s="40"/>
      <c r="P22" s="40">
        <v>536014</v>
      </c>
      <c r="Q22" s="40"/>
      <c r="R22" s="40"/>
      <c r="S22" s="50"/>
      <c r="T22" s="50">
        <f t="shared" si="3"/>
        <v>467315557</v>
      </c>
      <c r="U22" s="50">
        <f>G22-T22</f>
        <v>9684443</v>
      </c>
    </row>
    <row r="23" spans="1:21">
      <c r="A23" s="13">
        <v>30501180415</v>
      </c>
      <c r="B23" s="37" t="s">
        <v>182</v>
      </c>
      <c r="C23" s="40">
        <v>398000000</v>
      </c>
      <c r="D23" s="40">
        <v>20000000</v>
      </c>
      <c r="E23" s="25"/>
      <c r="F23" s="40"/>
      <c r="G23" s="40">
        <f t="shared" si="2"/>
        <v>418000000</v>
      </c>
      <c r="H23" s="40"/>
      <c r="I23" s="40">
        <v>37622000</v>
      </c>
      <c r="J23" s="40">
        <v>23456000</v>
      </c>
      <c r="K23" s="40">
        <v>40516000</v>
      </c>
      <c r="L23" s="40">
        <v>13893964</v>
      </c>
      <c r="M23" s="40">
        <v>289537645</v>
      </c>
      <c r="N23" s="40"/>
      <c r="O23" s="40"/>
      <c r="P23" s="40">
        <v>0</v>
      </c>
      <c r="Q23" s="40"/>
      <c r="R23" s="40"/>
      <c r="S23" s="50"/>
      <c r="T23" s="50">
        <f t="shared" si="3"/>
        <v>405025609</v>
      </c>
      <c r="U23" s="50">
        <f>G23-T23</f>
        <v>12974391</v>
      </c>
    </row>
    <row r="24" spans="1:21">
      <c r="A24" s="13" t="s">
        <v>207</v>
      </c>
      <c r="B24" s="13" t="s">
        <v>129</v>
      </c>
      <c r="C24" s="40">
        <v>1000000</v>
      </c>
      <c r="D24" s="25"/>
      <c r="E24" s="25"/>
      <c r="F24" s="40"/>
      <c r="G24" s="40">
        <f t="shared" si="2"/>
        <v>1000000</v>
      </c>
      <c r="H24" s="40"/>
      <c r="I24" s="40"/>
      <c r="J24" s="40"/>
      <c r="K24" s="40"/>
      <c r="L24" s="40"/>
      <c r="M24" s="40"/>
      <c r="N24" s="40"/>
      <c r="O24" s="40"/>
      <c r="P24" s="40">
        <v>0</v>
      </c>
      <c r="Q24" s="40"/>
      <c r="R24" s="40"/>
      <c r="S24" s="50"/>
      <c r="T24" s="50">
        <f t="shared" si="3"/>
        <v>0</v>
      </c>
      <c r="U24" s="50">
        <f>G24-T24</f>
        <v>1000000</v>
      </c>
    </row>
    <row r="25" spans="1:21">
      <c r="A25" s="25"/>
      <c r="B25" s="26" t="s">
        <v>130</v>
      </c>
      <c r="C25" s="39">
        <f>SUM(C26)</f>
        <v>110000000</v>
      </c>
      <c r="D25" s="39">
        <f>SUM(D26)</f>
        <v>15000000</v>
      </c>
      <c r="E25" s="39">
        <f>SUM(E26)</f>
        <v>0</v>
      </c>
      <c r="F25" s="39">
        <f>SUM(F26)</f>
        <v>0</v>
      </c>
      <c r="G25" s="39">
        <f>SUM(G26)</f>
        <v>125000000</v>
      </c>
      <c r="H25" s="39">
        <f t="shared" ref="H25:P25" si="5">SUM(H26)</f>
        <v>9562342</v>
      </c>
      <c r="I25" s="39">
        <f t="shared" si="5"/>
        <v>9352648</v>
      </c>
      <c r="J25" s="39">
        <f t="shared" si="5"/>
        <v>8564288</v>
      </c>
      <c r="K25" s="39">
        <f t="shared" si="5"/>
        <v>9124588</v>
      </c>
      <c r="L25" s="39">
        <f t="shared" si="5"/>
        <v>8495623</v>
      </c>
      <c r="M25" s="39">
        <f t="shared" si="5"/>
        <v>8945621</v>
      </c>
      <c r="N25" s="39">
        <f t="shared" si="5"/>
        <v>10929300</v>
      </c>
      <c r="O25" s="39">
        <f t="shared" si="5"/>
        <v>12074500</v>
      </c>
      <c r="P25" s="39">
        <f t="shared" si="5"/>
        <v>11588100</v>
      </c>
      <c r="Q25" s="39">
        <f>SUM(Q26)</f>
        <v>10950100</v>
      </c>
      <c r="R25" s="39">
        <f>SUM(R26)</f>
        <v>10354621</v>
      </c>
      <c r="S25" s="39">
        <f>SUM(S26)</f>
        <v>13456741</v>
      </c>
      <c r="T25" s="39">
        <f>SUM(T26)</f>
        <v>123398472</v>
      </c>
      <c r="U25" s="49">
        <f>SUM(U26)</f>
        <v>1601528</v>
      </c>
    </row>
    <row r="26" spans="1:21">
      <c r="A26" s="13">
        <v>30501180416</v>
      </c>
      <c r="B26" s="27" t="s">
        <v>131</v>
      </c>
      <c r="C26" s="40">
        <v>110000000</v>
      </c>
      <c r="D26" s="40">
        <v>15000000</v>
      </c>
      <c r="E26" s="25"/>
      <c r="F26" s="40"/>
      <c r="G26" s="40">
        <f t="shared" si="2"/>
        <v>125000000</v>
      </c>
      <c r="H26" s="40">
        <v>9562342</v>
      </c>
      <c r="I26" s="40">
        <v>9352648</v>
      </c>
      <c r="J26" s="40">
        <v>8564288</v>
      </c>
      <c r="K26" s="40">
        <v>9124588</v>
      </c>
      <c r="L26" s="40">
        <v>8495623</v>
      </c>
      <c r="M26" s="40">
        <v>8945621</v>
      </c>
      <c r="N26" s="40">
        <v>10929300</v>
      </c>
      <c r="O26" s="40">
        <v>12074500</v>
      </c>
      <c r="P26" s="40">
        <v>11588100</v>
      </c>
      <c r="Q26" s="40">
        <v>10950100</v>
      </c>
      <c r="R26" s="40">
        <v>10354621</v>
      </c>
      <c r="S26" s="50">
        <v>13456741</v>
      </c>
      <c r="T26" s="50">
        <f t="shared" si="3"/>
        <v>123398472</v>
      </c>
      <c r="U26" s="50">
        <f>G26-T26</f>
        <v>1601528</v>
      </c>
    </row>
    <row r="27" spans="1:21">
      <c r="A27" s="25"/>
      <c r="B27" s="26" t="s">
        <v>130</v>
      </c>
      <c r="C27" s="39">
        <f>SUM(C28:C32)</f>
        <v>854700000</v>
      </c>
      <c r="D27" s="39">
        <f>SUM(D28:D32)</f>
        <v>5000000</v>
      </c>
      <c r="E27" s="39">
        <f>SUM(E28:E32)</f>
        <v>0</v>
      </c>
      <c r="F27" s="39">
        <f>SUM(F28:F32)</f>
        <v>0</v>
      </c>
      <c r="G27" s="39">
        <f>SUM(G28:G32)</f>
        <v>859700000</v>
      </c>
      <c r="H27" s="39">
        <f t="shared" ref="H27:P27" si="6">SUM(H28:H32)</f>
        <v>59547967</v>
      </c>
      <c r="I27" s="39">
        <f t="shared" si="6"/>
        <v>58451689</v>
      </c>
      <c r="J27" s="39">
        <f t="shared" si="6"/>
        <v>57731322</v>
      </c>
      <c r="K27" s="39">
        <f t="shared" si="6"/>
        <v>74847210</v>
      </c>
      <c r="L27" s="39">
        <f t="shared" si="6"/>
        <v>62804958</v>
      </c>
      <c r="M27" s="39">
        <f t="shared" si="6"/>
        <v>76176080</v>
      </c>
      <c r="N27" s="39">
        <f t="shared" si="6"/>
        <v>67884185</v>
      </c>
      <c r="O27" s="39">
        <f t="shared" si="6"/>
        <v>81416723</v>
      </c>
      <c r="P27" s="39">
        <f t="shared" si="6"/>
        <v>55811947</v>
      </c>
      <c r="Q27" s="39">
        <f>SUM(Q28:Q32)</f>
        <v>50252471</v>
      </c>
      <c r="R27" s="39">
        <f>SUM(R28:R32)</f>
        <v>67035474</v>
      </c>
      <c r="S27" s="39">
        <f>SUM(S28:S32)</f>
        <v>92167622</v>
      </c>
      <c r="T27" s="39">
        <f>SUM(T28:T32)</f>
        <v>804127648</v>
      </c>
      <c r="U27" s="49">
        <f>SUM(U28:U32)</f>
        <v>55572352</v>
      </c>
    </row>
    <row r="28" spans="1:21">
      <c r="A28" s="13">
        <v>30501180417</v>
      </c>
      <c r="B28" s="27" t="s">
        <v>132</v>
      </c>
      <c r="C28" s="40">
        <v>90200000</v>
      </c>
      <c r="D28" s="25"/>
      <c r="E28" s="25"/>
      <c r="F28" s="40"/>
      <c r="G28" s="40">
        <f t="shared" si="2"/>
        <v>90200000</v>
      </c>
      <c r="H28" s="40">
        <v>6854623</v>
      </c>
      <c r="I28" s="40">
        <v>6458928</v>
      </c>
      <c r="J28" s="50">
        <v>6256482</v>
      </c>
      <c r="K28" s="50">
        <v>6845792</v>
      </c>
      <c r="L28" s="40">
        <v>6198754</v>
      </c>
      <c r="M28" s="40">
        <v>6458972</v>
      </c>
      <c r="N28" s="40">
        <v>8196300</v>
      </c>
      <c r="O28" s="40">
        <v>9054500</v>
      </c>
      <c r="P28" s="40">
        <v>1997100</v>
      </c>
      <c r="Q28" s="40">
        <v>1822200</v>
      </c>
      <c r="R28" s="40">
        <v>1789456</v>
      </c>
      <c r="S28" s="50">
        <v>2985647</v>
      </c>
      <c r="T28" s="50">
        <f t="shared" si="3"/>
        <v>64918754</v>
      </c>
      <c r="U28" s="50">
        <f>G28-T28</f>
        <v>25281246</v>
      </c>
    </row>
    <row r="29" spans="1:21">
      <c r="A29" s="13">
        <v>30501180418</v>
      </c>
      <c r="B29" s="27" t="s">
        <v>133</v>
      </c>
      <c r="C29" s="40">
        <v>33000000</v>
      </c>
      <c r="D29" s="25"/>
      <c r="E29" s="25"/>
      <c r="F29" s="40"/>
      <c r="G29" s="40">
        <f t="shared" si="2"/>
        <v>33000000</v>
      </c>
      <c r="H29" s="40">
        <v>2358974</v>
      </c>
      <c r="I29" s="40">
        <v>2258796</v>
      </c>
      <c r="J29" s="50">
        <v>1996522</v>
      </c>
      <c r="K29" s="50">
        <v>2088974</v>
      </c>
      <c r="L29" s="40">
        <v>1952644</v>
      </c>
      <c r="M29" s="40">
        <v>2064586</v>
      </c>
      <c r="N29" s="40">
        <v>1365500</v>
      </c>
      <c r="O29" s="40">
        <v>1508700</v>
      </c>
      <c r="P29" s="40">
        <v>1448400</v>
      </c>
      <c r="Q29" s="40">
        <v>1368722</v>
      </c>
      <c r="R29" s="40">
        <v>1342588</v>
      </c>
      <c r="S29" s="50">
        <v>2558963</v>
      </c>
      <c r="T29" s="50">
        <f t="shared" si="3"/>
        <v>22313369</v>
      </c>
      <c r="U29" s="50">
        <f>G29-T29</f>
        <v>10686631</v>
      </c>
    </row>
    <row r="30" spans="1:21">
      <c r="A30" s="13">
        <v>30501180419</v>
      </c>
      <c r="B30" s="27" t="s">
        <v>134</v>
      </c>
      <c r="C30" s="40">
        <v>33000000</v>
      </c>
      <c r="D30" s="25"/>
      <c r="E30" s="25"/>
      <c r="F30" s="40"/>
      <c r="G30" s="40">
        <f t="shared" si="2"/>
        <v>33000000</v>
      </c>
      <c r="H30" s="40">
        <v>2358974</v>
      </c>
      <c r="I30" s="40">
        <v>2258796</v>
      </c>
      <c r="J30" s="50">
        <v>1996522</v>
      </c>
      <c r="K30" s="50">
        <v>2088974</v>
      </c>
      <c r="L30" s="40">
        <v>1952644</v>
      </c>
      <c r="M30" s="40">
        <v>2064586</v>
      </c>
      <c r="N30" s="40">
        <v>1365500</v>
      </c>
      <c r="O30" s="40">
        <v>1508700</v>
      </c>
      <c r="P30" s="40">
        <v>1448400</v>
      </c>
      <c r="Q30" s="40">
        <v>1368722</v>
      </c>
      <c r="R30" s="40">
        <v>1342588</v>
      </c>
      <c r="S30" s="50">
        <v>2558963</v>
      </c>
      <c r="T30" s="50">
        <f t="shared" si="3"/>
        <v>22313369</v>
      </c>
      <c r="U30" s="50">
        <f>G30-T30</f>
        <v>10686631</v>
      </c>
    </row>
    <row r="31" spans="1:21">
      <c r="A31" s="13">
        <v>30501180420</v>
      </c>
      <c r="B31" s="27" t="s">
        <v>135</v>
      </c>
      <c r="C31" s="40">
        <v>38500000</v>
      </c>
      <c r="D31" s="40">
        <v>5000000</v>
      </c>
      <c r="E31" s="25"/>
      <c r="F31" s="40"/>
      <c r="G31" s="40">
        <f t="shared" si="2"/>
        <v>43500000</v>
      </c>
      <c r="H31" s="40">
        <v>3687452</v>
      </c>
      <c r="I31" s="40">
        <v>3785424</v>
      </c>
      <c r="J31" s="50">
        <v>3993044</v>
      </c>
      <c r="K31" s="50">
        <f t="shared" ref="K31:M31" si="7">K30*2</f>
        <v>4177948</v>
      </c>
      <c r="L31" s="40">
        <f t="shared" si="7"/>
        <v>3905288</v>
      </c>
      <c r="M31" s="40">
        <f t="shared" si="7"/>
        <v>4129172</v>
      </c>
      <c r="N31" s="40">
        <v>2714900</v>
      </c>
      <c r="O31" s="40">
        <v>3017100</v>
      </c>
      <c r="P31" s="40">
        <v>2896800</v>
      </c>
      <c r="Q31" s="40">
        <v>2737144</v>
      </c>
      <c r="R31" s="40">
        <f>R30*2</f>
        <v>2685176</v>
      </c>
      <c r="S31" s="50">
        <f>S30*2</f>
        <v>5117926</v>
      </c>
      <c r="T31" s="50">
        <f t="shared" si="3"/>
        <v>42847374</v>
      </c>
      <c r="U31" s="50">
        <f>G31-T31</f>
        <v>652626</v>
      </c>
    </row>
    <row r="32" spans="1:21">
      <c r="A32" s="13">
        <v>30501180421</v>
      </c>
      <c r="B32" s="27" t="s">
        <v>136</v>
      </c>
      <c r="C32" s="40">
        <v>660000000</v>
      </c>
      <c r="D32" s="25"/>
      <c r="E32" s="25"/>
      <c r="F32" s="40"/>
      <c r="G32" s="40">
        <f t="shared" si="2"/>
        <v>660000000</v>
      </c>
      <c r="H32" s="40">
        <v>44287944</v>
      </c>
      <c r="I32" s="40">
        <v>43689745</v>
      </c>
      <c r="J32" s="50">
        <v>43488752</v>
      </c>
      <c r="K32" s="50">
        <v>59645522</v>
      </c>
      <c r="L32" s="40">
        <v>48795628</v>
      </c>
      <c r="M32" s="40">
        <v>61458764</v>
      </c>
      <c r="N32" s="40">
        <v>54241985</v>
      </c>
      <c r="O32" s="40">
        <v>66327723</v>
      </c>
      <c r="P32" s="40">
        <v>48021247</v>
      </c>
      <c r="Q32" s="40">
        <v>42955683</v>
      </c>
      <c r="R32" s="40">
        <v>59875666</v>
      </c>
      <c r="S32" s="50">
        <v>78946123</v>
      </c>
      <c r="T32" s="50">
        <f t="shared" si="3"/>
        <v>651734782</v>
      </c>
      <c r="U32" s="50">
        <f>G32-T32</f>
        <v>8265218</v>
      </c>
    </row>
    <row r="33" spans="1:21">
      <c r="A33" s="26">
        <v>30502</v>
      </c>
      <c r="B33" s="26" t="s">
        <v>137</v>
      </c>
      <c r="D33" s="25"/>
      <c r="E33" s="25"/>
      <c r="G33" s="25"/>
      <c r="H33" s="44"/>
      <c r="I33" s="42"/>
      <c r="J33" s="54"/>
      <c r="K33" s="54"/>
      <c r="L33" s="54"/>
      <c r="M33" s="54"/>
      <c r="N33" s="54"/>
      <c r="O33" s="54"/>
      <c r="P33" s="54"/>
      <c r="Q33" s="54"/>
      <c r="R33" s="54"/>
      <c r="S33" s="46"/>
      <c r="T33" s="48"/>
    </row>
    <row r="34" spans="1:21">
      <c r="A34" s="26"/>
      <c r="B34" s="26" t="s">
        <v>138</v>
      </c>
      <c r="C34" s="39">
        <f>SUM(C35:C40)</f>
        <v>639500000</v>
      </c>
      <c r="D34" s="39">
        <f>SUM(D35:D40)</f>
        <v>74000000</v>
      </c>
      <c r="E34" s="39">
        <f>SUM(E35:E40)</f>
        <v>145000000</v>
      </c>
      <c r="F34" s="39">
        <f>SUM(F35:F40)</f>
        <v>0</v>
      </c>
      <c r="G34" s="39">
        <f>SUM(G35:G40)</f>
        <v>568500000</v>
      </c>
      <c r="H34" s="39">
        <f t="shared" ref="H34:K34" si="8">SUM(H35:H40)</f>
        <v>0</v>
      </c>
      <c r="I34" s="39">
        <f t="shared" si="8"/>
        <v>22087850</v>
      </c>
      <c r="J34" s="39">
        <f t="shared" si="8"/>
        <v>46000000</v>
      </c>
      <c r="K34" s="39">
        <f t="shared" si="8"/>
        <v>139353140</v>
      </c>
      <c r="L34" s="39">
        <f t="shared" ref="L34:R34" si="9">SUM(L35:L40)</f>
        <v>0</v>
      </c>
      <c r="M34" s="39">
        <f t="shared" si="9"/>
        <v>0</v>
      </c>
      <c r="N34" s="39">
        <f t="shared" si="9"/>
        <v>123000000</v>
      </c>
      <c r="O34" s="39">
        <f t="shared" si="9"/>
        <v>0</v>
      </c>
      <c r="P34" s="39">
        <f t="shared" si="9"/>
        <v>140000000</v>
      </c>
      <c r="Q34" s="39">
        <f t="shared" si="9"/>
        <v>0</v>
      </c>
      <c r="R34" s="39">
        <f t="shared" si="9"/>
        <v>0</v>
      </c>
      <c r="S34" s="39">
        <f>SUM(S35:S40)</f>
        <v>44595099</v>
      </c>
      <c r="T34" s="39">
        <f>SUM(T35:T40)</f>
        <v>515036089</v>
      </c>
      <c r="U34" s="49">
        <f>SUM(U35:U40)</f>
        <v>53463911</v>
      </c>
    </row>
    <row r="35" spans="1:21">
      <c r="A35" s="13">
        <v>30502180401</v>
      </c>
      <c r="B35" s="13" t="s">
        <v>139</v>
      </c>
      <c r="C35" s="40">
        <v>20000000</v>
      </c>
      <c r="D35" s="25"/>
      <c r="E35" s="25"/>
      <c r="F35" s="40"/>
      <c r="G35" s="40">
        <f t="shared" ref="G35:G50" si="10">C35+D35-E35+F35</f>
        <v>20000000</v>
      </c>
      <c r="H35" s="44"/>
      <c r="I35" s="42"/>
      <c r="J35" s="54"/>
      <c r="K35" s="54"/>
      <c r="L35" s="54"/>
      <c r="M35" s="54"/>
      <c r="N35" s="54"/>
      <c r="O35" s="54"/>
      <c r="P35" s="40">
        <v>0</v>
      </c>
      <c r="Q35" s="40"/>
      <c r="R35" s="40"/>
      <c r="S35" s="50">
        <v>17500000</v>
      </c>
      <c r="T35" s="50">
        <f t="shared" ref="T35:T50" si="11">H35+I35+J35+K35+L35+M35+N35+O35+P35+Q35+R35+S35</f>
        <v>17500000</v>
      </c>
      <c r="U35" s="50">
        <f t="shared" ref="U35:U40" si="12">G35-T35</f>
        <v>2500000</v>
      </c>
    </row>
    <row r="36" spans="1:21">
      <c r="A36" s="13">
        <v>30502180402</v>
      </c>
      <c r="B36" s="13" t="s">
        <v>140</v>
      </c>
      <c r="C36" s="40">
        <v>161000000</v>
      </c>
      <c r="D36" s="40">
        <f>40000000+18000000+3000000</f>
        <v>61000000</v>
      </c>
      <c r="E36" s="25"/>
      <c r="F36" s="40"/>
      <c r="G36" s="40">
        <f t="shared" si="10"/>
        <v>222000000</v>
      </c>
      <c r="H36" s="40"/>
      <c r="I36" s="40">
        <v>22087850</v>
      </c>
      <c r="J36" s="40">
        <v>46000000</v>
      </c>
      <c r="K36" s="40"/>
      <c r="L36" s="40"/>
      <c r="M36" s="40"/>
      <c r="N36" s="40"/>
      <c r="O36" s="40"/>
      <c r="P36" s="40">
        <v>140000000</v>
      </c>
      <c r="Q36" s="40"/>
      <c r="R36" s="40"/>
      <c r="S36" s="50">
        <v>13000000</v>
      </c>
      <c r="T36" s="50">
        <f t="shared" si="11"/>
        <v>221087850</v>
      </c>
      <c r="U36" s="50">
        <f t="shared" si="12"/>
        <v>912150</v>
      </c>
    </row>
    <row r="37" spans="1:21">
      <c r="A37" s="13">
        <v>30502180403</v>
      </c>
      <c r="B37" s="37" t="s">
        <v>183</v>
      </c>
      <c r="C37" s="40">
        <v>267000000</v>
      </c>
      <c r="D37" s="40">
        <v>13000000</v>
      </c>
      <c r="E37" s="25"/>
      <c r="F37" s="40"/>
      <c r="G37" s="40">
        <f t="shared" si="10"/>
        <v>280000000</v>
      </c>
      <c r="H37" s="40"/>
      <c r="I37" s="40"/>
      <c r="J37" s="40">
        <v>0</v>
      </c>
      <c r="K37" s="40">
        <v>139353140</v>
      </c>
      <c r="L37" s="40"/>
      <c r="M37" s="40"/>
      <c r="N37" s="40">
        <v>105000000</v>
      </c>
      <c r="O37" s="40"/>
      <c r="P37" s="40"/>
      <c r="Q37" s="40"/>
      <c r="R37" s="40"/>
      <c r="S37" s="50"/>
      <c r="T37" s="50">
        <f t="shared" si="11"/>
        <v>244353140</v>
      </c>
      <c r="U37" s="50">
        <f t="shared" si="12"/>
        <v>35646860</v>
      </c>
    </row>
    <row r="38" spans="1:21">
      <c r="A38" s="13">
        <v>30502180404</v>
      </c>
      <c r="B38" s="13" t="s">
        <v>141</v>
      </c>
      <c r="C38" s="40">
        <v>38500000</v>
      </c>
      <c r="D38" s="25"/>
      <c r="E38" s="40">
        <v>10000000</v>
      </c>
      <c r="F38" s="40"/>
      <c r="G38" s="40">
        <f t="shared" si="10"/>
        <v>28500000</v>
      </c>
      <c r="H38" s="40"/>
      <c r="I38" s="40"/>
      <c r="J38" s="40"/>
      <c r="K38" s="40"/>
      <c r="L38" s="40"/>
      <c r="M38" s="40"/>
      <c r="N38" s="40">
        <v>18000000</v>
      </c>
      <c r="O38" s="40"/>
      <c r="P38" s="40"/>
      <c r="Q38" s="40"/>
      <c r="R38" s="40"/>
      <c r="S38" s="50"/>
      <c r="T38" s="50">
        <f t="shared" si="11"/>
        <v>18000000</v>
      </c>
      <c r="U38" s="50">
        <f t="shared" si="12"/>
        <v>10500000</v>
      </c>
    </row>
    <row r="39" spans="1:21">
      <c r="A39" s="13" t="s">
        <v>206</v>
      </c>
      <c r="B39" s="13" t="s">
        <v>142</v>
      </c>
      <c r="C39" s="40">
        <v>3000000</v>
      </c>
      <c r="D39" s="25"/>
      <c r="E39" s="25"/>
      <c r="F39" s="40"/>
      <c r="G39" s="40">
        <f t="shared" si="10"/>
        <v>3000000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50"/>
      <c r="T39" s="50">
        <f t="shared" si="11"/>
        <v>0</v>
      </c>
      <c r="U39" s="50">
        <f t="shared" si="12"/>
        <v>3000000</v>
      </c>
    </row>
    <row r="40" spans="1:21">
      <c r="A40" s="13">
        <v>30502180405</v>
      </c>
      <c r="B40" s="13" t="s">
        <v>143</v>
      </c>
      <c r="C40" s="40">
        <v>150000000</v>
      </c>
      <c r="D40" s="25"/>
      <c r="E40" s="40">
        <f>100000000+25000000+10000000</f>
        <v>135000000</v>
      </c>
      <c r="F40" s="40"/>
      <c r="G40" s="40">
        <f t="shared" si="10"/>
        <v>15000000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50">
        <v>14095099</v>
      </c>
      <c r="T40" s="50">
        <f t="shared" si="11"/>
        <v>14095099</v>
      </c>
      <c r="U40" s="50">
        <f t="shared" si="12"/>
        <v>904901</v>
      </c>
    </row>
    <row r="41" spans="1:21">
      <c r="A41" s="13"/>
      <c r="B41" s="26" t="s">
        <v>144</v>
      </c>
      <c r="C41" s="39">
        <f>SUM(C42:C50)</f>
        <v>582500000</v>
      </c>
      <c r="D41" s="39">
        <f>SUM(D42:D50)</f>
        <v>68000000</v>
      </c>
      <c r="E41" s="39">
        <f>SUM(E42:E50)</f>
        <v>56000000</v>
      </c>
      <c r="F41" s="39">
        <f>SUM(F42:F50)</f>
        <v>0</v>
      </c>
      <c r="G41" s="39">
        <f>SUM(G42:G50)</f>
        <v>594500000</v>
      </c>
      <c r="H41" s="39">
        <f t="shared" ref="H41:P41" si="13">SUM(H42:H50)</f>
        <v>9352110</v>
      </c>
      <c r="I41" s="39">
        <f t="shared" si="13"/>
        <v>124123361</v>
      </c>
      <c r="J41" s="39">
        <f t="shared" si="13"/>
        <v>59084162</v>
      </c>
      <c r="K41" s="39">
        <f t="shared" si="13"/>
        <v>46405658</v>
      </c>
      <c r="L41" s="39">
        <f t="shared" si="13"/>
        <v>15266849</v>
      </c>
      <c r="M41" s="39">
        <f t="shared" si="13"/>
        <v>23632312</v>
      </c>
      <c r="N41" s="39">
        <f t="shared" si="13"/>
        <v>29495813</v>
      </c>
      <c r="O41" s="39">
        <f t="shared" si="13"/>
        <v>26149997</v>
      </c>
      <c r="P41" s="39">
        <f t="shared" si="13"/>
        <v>24499251</v>
      </c>
      <c r="Q41" s="39">
        <f>SUM(Q42:Q50)</f>
        <v>29110374</v>
      </c>
      <c r="R41" s="39">
        <f>SUM(R42:R50)</f>
        <v>21339367</v>
      </c>
      <c r="S41" s="39">
        <f>SUM(S42:S50)</f>
        <v>52291996</v>
      </c>
      <c r="T41" s="39">
        <f>SUM(T42:T50)</f>
        <v>460751250</v>
      </c>
      <c r="U41" s="49">
        <f>SUM(U42:U50)</f>
        <v>133748750</v>
      </c>
    </row>
    <row r="42" spans="1:21">
      <c r="A42" s="13">
        <v>30502180406</v>
      </c>
      <c r="B42" s="13" t="s">
        <v>145</v>
      </c>
      <c r="C42" s="40">
        <v>55000000</v>
      </c>
      <c r="D42" s="40">
        <f>5000000+10000000</f>
        <v>15000000</v>
      </c>
      <c r="E42" s="25"/>
      <c r="F42" s="40"/>
      <c r="G42" s="40">
        <f t="shared" si="10"/>
        <v>70000000</v>
      </c>
      <c r="H42" s="40"/>
      <c r="I42" s="40">
        <v>2223356</v>
      </c>
      <c r="J42" s="40">
        <v>25000000</v>
      </c>
      <c r="K42" s="40">
        <v>2195348</v>
      </c>
      <c r="L42" s="40">
        <v>2227929</v>
      </c>
      <c r="M42" s="40">
        <v>1883840</v>
      </c>
      <c r="N42" s="40"/>
      <c r="O42" s="40">
        <v>2151018</v>
      </c>
      <c r="P42" s="40">
        <v>1843341</v>
      </c>
      <c r="Q42" s="40">
        <v>11794385</v>
      </c>
      <c r="R42" s="40">
        <v>1842385</v>
      </c>
      <c r="S42" s="50">
        <v>11615648</v>
      </c>
      <c r="T42" s="50">
        <f t="shared" si="11"/>
        <v>62777250</v>
      </c>
      <c r="U42" s="50">
        <f t="shared" ref="U42:U50" si="14">G42-T42</f>
        <v>7222750</v>
      </c>
    </row>
    <row r="43" spans="1:21">
      <c r="A43" s="13">
        <v>30502180407</v>
      </c>
      <c r="B43" s="13" t="s">
        <v>146</v>
      </c>
      <c r="C43" s="40">
        <v>100000000</v>
      </c>
      <c r="D43" s="40">
        <v>15000000</v>
      </c>
      <c r="E43" s="40">
        <v>21000000</v>
      </c>
      <c r="F43" s="40"/>
      <c r="G43" s="40">
        <f>C43+D43-E43+F43</f>
        <v>94000000</v>
      </c>
      <c r="H43" s="40"/>
      <c r="I43" s="40"/>
      <c r="J43" s="40">
        <v>6000000</v>
      </c>
      <c r="K43" s="40"/>
      <c r="L43" s="40"/>
      <c r="M43" s="40">
        <v>10000000</v>
      </c>
      <c r="N43" s="40">
        <v>18000000</v>
      </c>
      <c r="O43" s="40"/>
      <c r="P43" s="40">
        <v>0</v>
      </c>
      <c r="Q43" s="40">
        <v>4000000</v>
      </c>
      <c r="R43" s="40"/>
      <c r="S43" s="50">
        <v>2000000</v>
      </c>
      <c r="T43" s="50">
        <f t="shared" si="11"/>
        <v>40000000</v>
      </c>
      <c r="U43" s="50">
        <f t="shared" si="14"/>
        <v>54000000</v>
      </c>
    </row>
    <row r="44" spans="1:21">
      <c r="A44" s="13">
        <v>30502180408</v>
      </c>
      <c r="B44" s="13" t="s">
        <v>147</v>
      </c>
      <c r="C44" s="40">
        <v>45000000</v>
      </c>
      <c r="D44" s="40">
        <v>8000000</v>
      </c>
      <c r="E44" s="25"/>
      <c r="F44" s="40"/>
      <c r="G44" s="40">
        <f t="shared" si="10"/>
        <v>53000000</v>
      </c>
      <c r="H44" s="40"/>
      <c r="I44" s="40">
        <v>18000000</v>
      </c>
      <c r="J44" s="40">
        <v>2518073</v>
      </c>
      <c r="K44" s="40">
        <v>31000000</v>
      </c>
      <c r="L44" s="40"/>
      <c r="M44" s="40"/>
      <c r="N44" s="40"/>
      <c r="O44" s="40"/>
      <c r="P44" s="40">
        <v>979843</v>
      </c>
      <c r="Q44" s="40"/>
      <c r="R44" s="40"/>
      <c r="S44" s="50"/>
      <c r="T44" s="50">
        <f t="shared" si="11"/>
        <v>52497916</v>
      </c>
      <c r="U44" s="50">
        <f t="shared" si="14"/>
        <v>502084</v>
      </c>
    </row>
    <row r="45" spans="1:21">
      <c r="A45" s="13">
        <v>30502180409</v>
      </c>
      <c r="B45" s="13" t="s">
        <v>148</v>
      </c>
      <c r="C45" s="40">
        <v>200000000</v>
      </c>
      <c r="D45" s="40"/>
      <c r="E45" s="40">
        <v>20000000</v>
      </c>
      <c r="F45" s="40"/>
      <c r="G45" s="40">
        <f t="shared" si="10"/>
        <v>180000000</v>
      </c>
      <c r="H45" s="40">
        <v>9130652</v>
      </c>
      <c r="I45" s="40">
        <v>8117194</v>
      </c>
      <c r="J45" s="40">
        <v>24352686</v>
      </c>
      <c r="K45" s="40">
        <v>12486885</v>
      </c>
      <c r="L45" s="40">
        <v>12677209</v>
      </c>
      <c r="M45" s="40">
        <v>9528753</v>
      </c>
      <c r="N45" s="40">
        <v>641769</v>
      </c>
      <c r="O45" s="40">
        <v>12520743</v>
      </c>
      <c r="P45" s="40">
        <v>14291928</v>
      </c>
      <c r="Q45" s="40">
        <v>11326279</v>
      </c>
      <c r="R45" s="40">
        <v>12057050</v>
      </c>
      <c r="S45" s="50">
        <v>14019310</v>
      </c>
      <c r="T45" s="50">
        <f t="shared" si="11"/>
        <v>141150458</v>
      </c>
      <c r="U45" s="50">
        <f t="shared" si="14"/>
        <v>38849542</v>
      </c>
    </row>
    <row r="46" spans="1:21">
      <c r="A46" s="13">
        <v>30502180410</v>
      </c>
      <c r="B46" s="13" t="s">
        <v>149</v>
      </c>
      <c r="C46" s="40">
        <v>45000000</v>
      </c>
      <c r="D46" s="40">
        <v>13000000</v>
      </c>
      <c r="E46" s="40">
        <v>5000000</v>
      </c>
      <c r="F46" s="40"/>
      <c r="G46" s="40">
        <f t="shared" si="10"/>
        <v>53000000</v>
      </c>
      <c r="H46" s="40"/>
      <c r="I46" s="40">
        <v>148733</v>
      </c>
      <c r="J46" s="40">
        <v>1014839</v>
      </c>
      <c r="K46" s="40">
        <v>723425</v>
      </c>
      <c r="L46" s="40">
        <v>361711</v>
      </c>
      <c r="M46" s="40">
        <v>2219719</v>
      </c>
      <c r="N46" s="40">
        <v>10854044</v>
      </c>
      <c r="O46" s="40">
        <v>6703536</v>
      </c>
      <c r="P46" s="40">
        <v>7384139</v>
      </c>
      <c r="Q46" s="40">
        <v>795910</v>
      </c>
      <c r="R46" s="40">
        <v>4204045</v>
      </c>
      <c r="S46" s="50">
        <v>6063238</v>
      </c>
      <c r="T46" s="50">
        <f t="shared" si="11"/>
        <v>40473339</v>
      </c>
      <c r="U46" s="50">
        <f t="shared" si="14"/>
        <v>12526661</v>
      </c>
    </row>
    <row r="47" spans="1:21">
      <c r="A47" s="13">
        <v>30502180411</v>
      </c>
      <c r="B47" s="13" t="s">
        <v>150</v>
      </c>
      <c r="C47" s="40">
        <v>110000000</v>
      </c>
      <c r="D47" s="40">
        <v>17000000</v>
      </c>
      <c r="E47" s="40"/>
      <c r="F47" s="40"/>
      <c r="G47" s="40">
        <f t="shared" si="10"/>
        <v>127000000</v>
      </c>
      <c r="H47" s="40"/>
      <c r="I47" s="40">
        <v>91349556</v>
      </c>
      <c r="J47" s="40"/>
      <c r="K47" s="40"/>
      <c r="L47" s="40"/>
      <c r="M47" s="40"/>
      <c r="N47" s="40"/>
      <c r="O47" s="40">
        <v>1790700</v>
      </c>
      <c r="P47" s="40">
        <v>0</v>
      </c>
      <c r="Q47" s="40">
        <v>1193800</v>
      </c>
      <c r="R47" s="40"/>
      <c r="S47" s="50">
        <v>18193800</v>
      </c>
      <c r="T47" s="50">
        <f t="shared" si="11"/>
        <v>112527856</v>
      </c>
      <c r="U47" s="50">
        <f t="shared" si="14"/>
        <v>14472144</v>
      </c>
    </row>
    <row r="48" spans="1:21">
      <c r="A48" s="13">
        <v>30502180412</v>
      </c>
      <c r="B48" s="13" t="s">
        <v>184</v>
      </c>
      <c r="C48" s="40">
        <v>16500000</v>
      </c>
      <c r="D48" s="40"/>
      <c r="E48" s="40">
        <v>5000000</v>
      </c>
      <c r="F48" s="40"/>
      <c r="G48" s="40">
        <f t="shared" si="10"/>
        <v>11500000</v>
      </c>
      <c r="H48" s="40"/>
      <c r="I48" s="40">
        <v>4000000</v>
      </c>
      <c r="J48" s="40"/>
      <c r="K48" s="40"/>
      <c r="L48" s="40"/>
      <c r="M48" s="40"/>
      <c r="N48" s="40"/>
      <c r="O48" s="40">
        <v>2984000</v>
      </c>
      <c r="P48" s="40">
        <v>0</v>
      </c>
      <c r="Q48" s="40"/>
      <c r="R48" s="40">
        <v>3235887</v>
      </c>
      <c r="S48" s="50"/>
      <c r="T48" s="50">
        <f t="shared" si="11"/>
        <v>10219887</v>
      </c>
      <c r="U48" s="50">
        <f t="shared" si="14"/>
        <v>1280113</v>
      </c>
    </row>
    <row r="49" spans="1:21">
      <c r="A49" s="13">
        <v>30502180413</v>
      </c>
      <c r="B49" s="13" t="s">
        <v>151</v>
      </c>
      <c r="C49" s="40">
        <v>10000000</v>
      </c>
      <c r="D49" s="40"/>
      <c r="E49" s="40">
        <v>5000000</v>
      </c>
      <c r="F49" s="40"/>
      <c r="G49" s="40">
        <f t="shared" si="10"/>
        <v>5000000</v>
      </c>
      <c r="H49" s="40">
        <v>221458</v>
      </c>
      <c r="I49" s="40">
        <v>284522</v>
      </c>
      <c r="J49" s="40">
        <v>198564</v>
      </c>
      <c r="K49" s="40"/>
      <c r="L49" s="40"/>
      <c r="M49" s="40"/>
      <c r="N49" s="40"/>
      <c r="O49" s="40"/>
      <c r="P49" s="40">
        <v>0</v>
      </c>
      <c r="Q49" s="40"/>
      <c r="R49" s="40"/>
      <c r="S49" s="50"/>
      <c r="T49" s="50">
        <f t="shared" si="11"/>
        <v>704544</v>
      </c>
      <c r="U49" s="50">
        <f t="shared" si="14"/>
        <v>4295456</v>
      </c>
    </row>
    <row r="50" spans="1:21">
      <c r="A50" s="13">
        <v>30502180414</v>
      </c>
      <c r="B50" s="13" t="s">
        <v>152</v>
      </c>
      <c r="C50" s="40">
        <v>1000000</v>
      </c>
      <c r="D50" s="40"/>
      <c r="E50" s="25"/>
      <c r="F50" s="40"/>
      <c r="G50" s="40">
        <f t="shared" si="10"/>
        <v>1000000</v>
      </c>
      <c r="H50" s="40"/>
      <c r="I50" s="40"/>
      <c r="J50" s="40"/>
      <c r="K50" s="40"/>
      <c r="L50" s="40"/>
      <c r="M50" s="40"/>
      <c r="N50" s="40"/>
      <c r="O50" s="40"/>
      <c r="P50" s="40">
        <v>0</v>
      </c>
      <c r="Q50" s="40"/>
      <c r="R50" s="40"/>
      <c r="S50" s="50">
        <v>400000</v>
      </c>
      <c r="T50" s="50">
        <f t="shared" si="11"/>
        <v>400000</v>
      </c>
      <c r="U50" s="50">
        <f t="shared" si="14"/>
        <v>600000</v>
      </c>
    </row>
    <row r="51" spans="1:21">
      <c r="A51" s="25"/>
      <c r="B51" s="26" t="s">
        <v>153</v>
      </c>
      <c r="D51" s="25"/>
      <c r="E51" s="25"/>
      <c r="G51" s="25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61"/>
      <c r="T51" s="50"/>
    </row>
    <row r="52" spans="1:21">
      <c r="A52" s="25"/>
      <c r="B52" s="26" t="s">
        <v>154</v>
      </c>
      <c r="C52" s="39">
        <f t="shared" ref="C52:H52" si="15">SUM(C53:C56)</f>
        <v>667800000</v>
      </c>
      <c r="D52" s="39">
        <f t="shared" si="15"/>
        <v>0</v>
      </c>
      <c r="E52" s="39">
        <f t="shared" si="15"/>
        <v>133000000</v>
      </c>
      <c r="F52" s="39">
        <f t="shared" si="15"/>
        <v>0</v>
      </c>
      <c r="G52" s="39">
        <f t="shared" si="15"/>
        <v>534800000</v>
      </c>
      <c r="H52" s="39">
        <f t="shared" si="15"/>
        <v>82841816</v>
      </c>
      <c r="I52" s="39">
        <f t="shared" ref="I52:R52" si="16">SUM(I53:I56)</f>
        <v>187170072</v>
      </c>
      <c r="J52" s="39">
        <f t="shared" si="16"/>
        <v>32783766</v>
      </c>
      <c r="K52" s="39">
        <f t="shared" si="16"/>
        <v>12875594</v>
      </c>
      <c r="L52" s="39">
        <f t="shared" si="16"/>
        <v>8312000</v>
      </c>
      <c r="M52" s="39">
        <f t="shared" si="16"/>
        <v>21751188</v>
      </c>
      <c r="N52" s="39">
        <f t="shared" si="16"/>
        <v>0</v>
      </c>
      <c r="O52" s="39">
        <f t="shared" si="16"/>
        <v>16584307</v>
      </c>
      <c r="P52" s="39">
        <f t="shared" si="16"/>
        <v>4875594</v>
      </c>
      <c r="Q52" s="39">
        <f t="shared" si="16"/>
        <v>4875594</v>
      </c>
      <c r="R52" s="39">
        <f t="shared" si="16"/>
        <v>16875594</v>
      </c>
      <c r="S52" s="39">
        <f>SUM(S53:S56)</f>
        <v>8409633</v>
      </c>
      <c r="T52" s="39">
        <f>SUM(T53:T56)</f>
        <v>397355158</v>
      </c>
      <c r="U52" s="49">
        <f>SUM(U53:U56)</f>
        <v>137444842</v>
      </c>
    </row>
    <row r="53" spans="1:21">
      <c r="A53" s="13">
        <v>30503180401</v>
      </c>
      <c r="B53" s="13" t="s">
        <v>155</v>
      </c>
      <c r="C53" s="40">
        <v>96800000</v>
      </c>
      <c r="D53" s="25"/>
      <c r="E53" s="40">
        <f>10000000+17000000</f>
        <v>27000000</v>
      </c>
      <c r="F53" s="40"/>
      <c r="G53" s="40">
        <f t="shared" ref="G53:G60" si="17">C53+D53-E53+F53</f>
        <v>69800000</v>
      </c>
      <c r="H53" s="40">
        <v>4701634</v>
      </c>
      <c r="I53" s="40">
        <v>4875594</v>
      </c>
      <c r="J53" s="40">
        <v>4875594</v>
      </c>
      <c r="K53" s="40">
        <v>4875594</v>
      </c>
      <c r="L53" s="40"/>
      <c r="M53" s="40">
        <v>9751188</v>
      </c>
      <c r="N53" s="40"/>
      <c r="O53" s="40">
        <v>6805594</v>
      </c>
      <c r="P53" s="40">
        <v>4875594</v>
      </c>
      <c r="Q53" s="40">
        <v>4875594</v>
      </c>
      <c r="R53" s="40">
        <v>4875594</v>
      </c>
      <c r="S53" s="50">
        <v>7201247</v>
      </c>
      <c r="T53" s="50">
        <f t="shared" ref="T53:T60" si="18">H53+I53+J53+K53+L53+M53+N53+O53+P53+Q53+R53+S53</f>
        <v>57713227</v>
      </c>
      <c r="U53" s="50">
        <f>G53-T53</f>
        <v>12086773</v>
      </c>
    </row>
    <row r="54" spans="1:21">
      <c r="A54" s="13">
        <v>30503180402</v>
      </c>
      <c r="B54" s="13" t="s">
        <v>156</v>
      </c>
      <c r="C54" s="40">
        <v>1000000</v>
      </c>
      <c r="D54" s="25"/>
      <c r="E54" s="40"/>
      <c r="F54" s="40"/>
      <c r="G54" s="40">
        <f t="shared" si="17"/>
        <v>1000000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50"/>
      <c r="T54" s="50">
        <f t="shared" si="18"/>
        <v>0</v>
      </c>
      <c r="U54" s="50">
        <f>G54-T54</f>
        <v>1000000</v>
      </c>
    </row>
    <row r="55" spans="1:21">
      <c r="A55" s="13">
        <v>30503180403</v>
      </c>
      <c r="B55" s="13" t="s">
        <v>157</v>
      </c>
      <c r="C55" s="40">
        <v>550000000</v>
      </c>
      <c r="D55" s="25"/>
      <c r="E55" s="40">
        <f>90000000+10000000</f>
        <v>100000000</v>
      </c>
      <c r="F55" s="40"/>
      <c r="G55" s="40">
        <f t="shared" si="17"/>
        <v>450000000</v>
      </c>
      <c r="H55" s="40">
        <v>66908099</v>
      </c>
      <c r="I55" s="40">
        <v>182294478</v>
      </c>
      <c r="J55" s="40">
        <v>27908172</v>
      </c>
      <c r="K55" s="40">
        <v>8000000</v>
      </c>
      <c r="L55" s="40">
        <v>8312000</v>
      </c>
      <c r="M55" s="40">
        <v>12000000</v>
      </c>
      <c r="N55" s="40"/>
      <c r="O55" s="40">
        <v>9778713</v>
      </c>
      <c r="P55" s="40"/>
      <c r="Q55" s="40"/>
      <c r="R55" s="40">
        <v>12000000</v>
      </c>
      <c r="S55" s="50">
        <v>1148292</v>
      </c>
      <c r="T55" s="50">
        <f t="shared" si="18"/>
        <v>328349754</v>
      </c>
      <c r="U55" s="50">
        <f>G55-T55</f>
        <v>121650246</v>
      </c>
    </row>
    <row r="56" spans="1:21">
      <c r="A56" s="13">
        <v>30503180404</v>
      </c>
      <c r="B56" s="13" t="s">
        <v>158</v>
      </c>
      <c r="C56" s="40">
        <v>20000000</v>
      </c>
      <c r="D56" s="25"/>
      <c r="E56" s="40">
        <v>6000000</v>
      </c>
      <c r="F56" s="40"/>
      <c r="G56" s="40">
        <f t="shared" si="17"/>
        <v>14000000</v>
      </c>
      <c r="H56" s="40">
        <v>11232083</v>
      </c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50">
        <v>60094</v>
      </c>
      <c r="T56" s="50">
        <f t="shared" si="18"/>
        <v>11292177</v>
      </c>
      <c r="U56" s="50">
        <f>G56-T56</f>
        <v>2707823</v>
      </c>
    </row>
    <row r="57" spans="1:21">
      <c r="A57" s="13"/>
      <c r="B57" s="26" t="s">
        <v>159</v>
      </c>
      <c r="C57" s="39">
        <f>C58+C59+C60</f>
        <v>233000000</v>
      </c>
      <c r="D57" s="39">
        <f>D58+D59+D60</f>
        <v>30000000</v>
      </c>
      <c r="E57" s="39">
        <f>E58+E59+E60</f>
        <v>30000000</v>
      </c>
      <c r="F57" s="39">
        <f>F58+F59+F60</f>
        <v>0</v>
      </c>
      <c r="G57" s="39">
        <f t="shared" ref="G57:P57" si="19">G58+G59+G60</f>
        <v>233000000</v>
      </c>
      <c r="H57" s="39">
        <f t="shared" si="19"/>
        <v>4076867</v>
      </c>
      <c r="I57" s="39">
        <f t="shared" si="19"/>
        <v>14249611</v>
      </c>
      <c r="J57" s="39">
        <f t="shared" si="19"/>
        <v>18602522</v>
      </c>
      <c r="K57" s="39">
        <f t="shared" si="19"/>
        <v>23907035</v>
      </c>
      <c r="L57" s="39">
        <f t="shared" si="19"/>
        <v>7027636</v>
      </c>
      <c r="M57" s="39">
        <f t="shared" si="19"/>
        <v>20420705</v>
      </c>
      <c r="N57" s="39">
        <f t="shared" si="19"/>
        <v>0</v>
      </c>
      <c r="O57" s="39">
        <f t="shared" si="19"/>
        <v>16005431</v>
      </c>
      <c r="P57" s="39">
        <f t="shared" si="19"/>
        <v>24395283</v>
      </c>
      <c r="Q57" s="39">
        <f>Q58+Q59+Q60</f>
        <v>18598565</v>
      </c>
      <c r="R57" s="39">
        <f>R58+R59+R60</f>
        <v>13078598</v>
      </c>
      <c r="S57" s="39">
        <f>S58+S59+S60</f>
        <v>27509029</v>
      </c>
      <c r="T57" s="39">
        <f>T58+T59+T60</f>
        <v>187871282</v>
      </c>
      <c r="U57" s="49">
        <f>U58+U59+U60</f>
        <v>45128718</v>
      </c>
    </row>
    <row r="58" spans="1:21">
      <c r="A58" s="13">
        <v>30503180405</v>
      </c>
      <c r="B58" s="13" t="s">
        <v>160</v>
      </c>
      <c r="C58" s="40">
        <v>30000000</v>
      </c>
      <c r="D58" s="25"/>
      <c r="E58" s="40">
        <v>20000000</v>
      </c>
      <c r="F58" s="40"/>
      <c r="G58" s="40">
        <f t="shared" si="17"/>
        <v>10000000</v>
      </c>
      <c r="H58" s="40"/>
      <c r="I58" s="40"/>
      <c r="J58" s="40"/>
      <c r="K58" s="40"/>
      <c r="L58" s="40"/>
      <c r="M58" s="40"/>
      <c r="N58" s="40"/>
      <c r="O58" s="40"/>
      <c r="P58" s="40"/>
      <c r="Q58" s="40">
        <v>7512951</v>
      </c>
      <c r="R58" s="40"/>
      <c r="S58" s="50"/>
      <c r="T58" s="50">
        <f t="shared" si="18"/>
        <v>7512951</v>
      </c>
      <c r="U58" s="50">
        <f>G58-T58</f>
        <v>2487049</v>
      </c>
    </row>
    <row r="59" spans="1:21">
      <c r="A59" s="13">
        <v>30503180406</v>
      </c>
      <c r="B59" s="13" t="s">
        <v>161</v>
      </c>
      <c r="C59" s="40">
        <v>88000000</v>
      </c>
      <c r="D59" s="25"/>
      <c r="E59" s="40">
        <v>10000000</v>
      </c>
      <c r="F59" s="40"/>
      <c r="G59" s="40">
        <f t="shared" si="17"/>
        <v>78000000</v>
      </c>
      <c r="H59" s="40"/>
      <c r="I59" s="40"/>
      <c r="J59" s="40">
        <v>12000000</v>
      </c>
      <c r="K59" s="40">
        <v>17095000</v>
      </c>
      <c r="L59" s="40">
        <v>500000</v>
      </c>
      <c r="M59" s="40">
        <v>5480000</v>
      </c>
      <c r="N59" s="40"/>
      <c r="O59" s="40">
        <v>613640</v>
      </c>
      <c r="P59" s="40">
        <v>4640000</v>
      </c>
      <c r="Q59" s="40">
        <v>510000</v>
      </c>
      <c r="R59" s="40"/>
      <c r="S59" s="50">
        <v>5459099</v>
      </c>
      <c r="T59" s="50">
        <f t="shared" si="18"/>
        <v>46297739</v>
      </c>
      <c r="U59" s="50">
        <f>G59-T59</f>
        <v>31702261</v>
      </c>
    </row>
    <row r="60" spans="1:21">
      <c r="A60" s="13">
        <v>30503180407</v>
      </c>
      <c r="B60" s="13" t="s">
        <v>162</v>
      </c>
      <c r="C60" s="40">
        <v>115000000</v>
      </c>
      <c r="D60" s="40">
        <f>8000000+12000000+10000000</f>
        <v>30000000</v>
      </c>
      <c r="E60" s="40"/>
      <c r="F60" s="40"/>
      <c r="G60" s="40">
        <f t="shared" si="17"/>
        <v>145000000</v>
      </c>
      <c r="H60" s="40">
        <v>4076867</v>
      </c>
      <c r="I60" s="40">
        <v>14249611</v>
      </c>
      <c r="J60" s="40">
        <v>6602522</v>
      </c>
      <c r="K60" s="40">
        <v>6812035</v>
      </c>
      <c r="L60" s="40">
        <v>6527636</v>
      </c>
      <c r="M60" s="40">
        <v>14940705</v>
      </c>
      <c r="N60" s="40"/>
      <c r="O60" s="40">
        <v>15391791</v>
      </c>
      <c r="P60" s="40">
        <v>19755283</v>
      </c>
      <c r="Q60" s="40">
        <v>10575614</v>
      </c>
      <c r="R60" s="40">
        <v>13078598</v>
      </c>
      <c r="S60" s="50">
        <v>22049930</v>
      </c>
      <c r="T60" s="50">
        <f t="shared" si="18"/>
        <v>134060592</v>
      </c>
      <c r="U60" s="50">
        <f>G60-T60</f>
        <v>10939408</v>
      </c>
    </row>
    <row r="61" spans="1:21">
      <c r="A61" s="13"/>
      <c r="B61" s="13"/>
      <c r="D61" s="25"/>
      <c r="E61" s="25"/>
      <c r="G61" s="25"/>
      <c r="H61" s="44"/>
      <c r="I61" s="42"/>
      <c r="J61" s="54"/>
      <c r="K61" s="54"/>
      <c r="L61" s="54"/>
      <c r="M61" s="54"/>
      <c r="N61" s="54"/>
      <c r="O61" s="54"/>
      <c r="P61" s="54"/>
      <c r="Q61" s="54"/>
      <c r="R61" s="54"/>
      <c r="S61" s="46"/>
      <c r="T61" s="50"/>
    </row>
    <row r="62" spans="1:21">
      <c r="A62" s="18"/>
      <c r="B62" s="28" t="s">
        <v>163</v>
      </c>
      <c r="C62" s="29">
        <f>C8+C20+C25+C27+C34+C41+C52+C57</f>
        <v>7400000000</v>
      </c>
      <c r="D62" s="29">
        <f>D8+D20+D25+D27+D34+D41+D52+D57</f>
        <v>588000000</v>
      </c>
      <c r="E62" s="29">
        <f>E8+E20+E25+E27+E34+E41+E52+E57</f>
        <v>588000000</v>
      </c>
      <c r="F62" s="29">
        <f>F8+F20+F25+F27+F34+F41+F52+F57</f>
        <v>0</v>
      </c>
      <c r="G62" s="29">
        <f>G8+G20+G25+G27+G34+G41+G52+G57</f>
        <v>7400000000</v>
      </c>
      <c r="H62" s="29">
        <f t="shared" ref="H62:R62" si="20">H8+H20+H25+H27+H34+H41+H52+H57</f>
        <v>447165025</v>
      </c>
      <c r="I62" s="29">
        <f t="shared" si="20"/>
        <v>730392382</v>
      </c>
      <c r="J62" s="29">
        <f t="shared" si="20"/>
        <v>573354210</v>
      </c>
      <c r="K62" s="29">
        <f t="shared" si="20"/>
        <v>658706499</v>
      </c>
      <c r="L62" s="29">
        <f t="shared" si="20"/>
        <v>466587389</v>
      </c>
      <c r="M62" s="29">
        <f t="shared" si="20"/>
        <v>1031973815</v>
      </c>
      <c r="N62" s="29">
        <f t="shared" si="20"/>
        <v>542054162</v>
      </c>
      <c r="O62" s="29">
        <f t="shared" si="20"/>
        <v>392400623</v>
      </c>
      <c r="P62" s="29">
        <f t="shared" si="20"/>
        <v>485508812</v>
      </c>
      <c r="Q62" s="29">
        <f>Q8+Q20+Q25+Q27+Q34+Q41+Q52+Q57</f>
        <v>356666326</v>
      </c>
      <c r="R62" s="51">
        <f t="shared" si="20"/>
        <v>355416952</v>
      </c>
      <c r="S62" s="51">
        <f>S8+S20+S25+S27+S34+S41+S52+S57</f>
        <v>702299257</v>
      </c>
      <c r="T62" s="51">
        <f>T8+T20+T25+T27+T34+T41+T52+T57</f>
        <v>6742525452</v>
      </c>
      <c r="U62" s="51">
        <f>U8+U20+U25+U27+U34+U41+U52+U57</f>
        <v>657474548</v>
      </c>
    </row>
    <row r="63" spans="1:21" ht="15.75">
      <c r="A63" s="25"/>
      <c r="B63" s="24" t="s">
        <v>11</v>
      </c>
      <c r="C63" s="39"/>
      <c r="D63" s="25"/>
      <c r="E63" s="25"/>
      <c r="F63" s="39"/>
      <c r="G63" s="25"/>
      <c r="H63" s="40"/>
      <c r="I63" s="40"/>
      <c r="J63" s="40"/>
      <c r="K63" s="40"/>
      <c r="L63" s="40"/>
      <c r="M63" s="40"/>
      <c r="N63" s="58"/>
      <c r="O63" s="58"/>
      <c r="P63" s="58"/>
      <c r="Q63" s="58"/>
      <c r="R63" s="58"/>
      <c r="S63" s="61"/>
      <c r="T63" s="56"/>
    </row>
    <row r="64" spans="1:21" ht="21" customHeight="1">
      <c r="A64" s="13">
        <v>305061804</v>
      </c>
      <c r="B64" s="26" t="s">
        <v>164</v>
      </c>
      <c r="C64" s="39">
        <v>0</v>
      </c>
      <c r="D64" s="25"/>
      <c r="E64" s="25"/>
      <c r="F64" s="39"/>
      <c r="G64" s="25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62"/>
      <c r="T64" s="50"/>
      <c r="U64" s="57"/>
    </row>
    <row r="65" spans="1:21">
      <c r="A65" s="13">
        <v>30506180401</v>
      </c>
      <c r="B65" s="13" t="s">
        <v>165</v>
      </c>
      <c r="C65" s="39">
        <v>0</v>
      </c>
      <c r="D65" s="25"/>
      <c r="E65" s="25"/>
      <c r="F65" s="39"/>
      <c r="G65" s="25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50"/>
      <c r="T65" s="50">
        <f t="shared" ref="T65:T66" si="21">H65+I65+J65+K65+L65+M65+N65+O65+P65+Q65+R65+S65</f>
        <v>0</v>
      </c>
      <c r="U65" s="50">
        <f>G65-T65</f>
        <v>0</v>
      </c>
    </row>
    <row r="66" spans="1:21">
      <c r="A66" s="13">
        <v>30506180402</v>
      </c>
      <c r="B66" s="13" t="s">
        <v>166</v>
      </c>
      <c r="C66" s="39">
        <v>0</v>
      </c>
      <c r="D66" s="25"/>
      <c r="E66" s="25"/>
      <c r="F66" s="39"/>
      <c r="G66" s="25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50"/>
      <c r="T66" s="50">
        <f t="shared" si="21"/>
        <v>0</v>
      </c>
      <c r="U66" s="50">
        <f>G66-T66</f>
        <v>0</v>
      </c>
    </row>
    <row r="67" spans="1:21">
      <c r="A67" s="18"/>
      <c r="B67" s="28" t="s">
        <v>167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/>
      <c r="S67" s="52"/>
      <c r="T67" s="52">
        <v>0</v>
      </c>
      <c r="U67" s="52">
        <v>0</v>
      </c>
    </row>
    <row r="68" spans="1:21" ht="15.75">
      <c r="A68" s="25"/>
      <c r="B68" s="24" t="s">
        <v>168</v>
      </c>
      <c r="C68" s="39"/>
      <c r="D68" s="25"/>
      <c r="E68" s="25"/>
      <c r="F68" s="39"/>
      <c r="G68" s="25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61"/>
      <c r="T68" s="50"/>
    </row>
    <row r="69" spans="1:21" ht="21" customHeight="1">
      <c r="A69" s="13">
        <v>30507180401</v>
      </c>
      <c r="B69" s="13" t="s">
        <v>14</v>
      </c>
      <c r="C69" s="40">
        <v>600000000</v>
      </c>
      <c r="D69" s="25"/>
      <c r="E69" s="25"/>
      <c r="F69" s="40"/>
      <c r="G69" s="40">
        <f t="shared" ref="G69:G74" si="22">C69+D69-E69+F69</f>
        <v>600000000</v>
      </c>
      <c r="H69" s="40"/>
      <c r="I69" s="40"/>
      <c r="J69" s="40"/>
      <c r="K69" s="40"/>
      <c r="L69" s="40"/>
      <c r="M69" s="40">
        <v>0</v>
      </c>
      <c r="N69" s="40"/>
      <c r="O69" s="40"/>
      <c r="P69" s="40">
        <v>458880200</v>
      </c>
      <c r="Q69" s="40">
        <v>48500000</v>
      </c>
      <c r="R69" s="40">
        <v>0</v>
      </c>
      <c r="S69" s="50"/>
      <c r="T69" s="50">
        <f t="shared" ref="T69:T74" si="23">H69+I69+J69+K69+L69+M69+N69+O69+P69+Q69+R69+S69</f>
        <v>507380200</v>
      </c>
      <c r="U69" s="50">
        <f t="shared" ref="U69:U74" si="24">G69-T69</f>
        <v>92619800</v>
      </c>
    </row>
    <row r="70" spans="1:21">
      <c r="A70" s="13">
        <v>30507180402</v>
      </c>
      <c r="B70" s="13" t="s">
        <v>15</v>
      </c>
      <c r="C70" s="40">
        <v>700000000</v>
      </c>
      <c r="D70" s="25"/>
      <c r="E70" s="25"/>
      <c r="F70" s="40">
        <v>800000000</v>
      </c>
      <c r="G70" s="40">
        <f t="shared" si="22"/>
        <v>1500000000</v>
      </c>
      <c r="H70" s="40"/>
      <c r="I70" s="40"/>
      <c r="J70" s="40">
        <v>6600000</v>
      </c>
      <c r="K70" s="40">
        <v>83124620</v>
      </c>
      <c r="L70" s="40">
        <v>416512526</v>
      </c>
      <c r="M70" s="40">
        <v>120907709</v>
      </c>
      <c r="N70" s="40">
        <v>783040054</v>
      </c>
      <c r="O70" s="40"/>
      <c r="P70" s="40">
        <v>5750000</v>
      </c>
      <c r="Q70" s="40">
        <v>0</v>
      </c>
      <c r="R70" s="40">
        <v>0</v>
      </c>
      <c r="S70" s="50">
        <v>1600000</v>
      </c>
      <c r="T70" s="50">
        <f t="shared" si="23"/>
        <v>1417534909</v>
      </c>
      <c r="U70" s="50">
        <f t="shared" si="24"/>
        <v>82465091</v>
      </c>
    </row>
    <row r="71" spans="1:21">
      <c r="A71" s="13">
        <v>30507180403</v>
      </c>
      <c r="B71" s="13" t="s">
        <v>16</v>
      </c>
      <c r="C71" s="40">
        <v>440000000</v>
      </c>
      <c r="D71" s="25"/>
      <c r="E71" s="25"/>
      <c r="F71" s="40">
        <v>148817986</v>
      </c>
      <c r="G71" s="40">
        <f>C71+D71-E71+F71</f>
        <v>588817986</v>
      </c>
      <c r="H71" s="40"/>
      <c r="I71" s="40">
        <v>12000000</v>
      </c>
      <c r="J71" s="40">
        <v>2000000</v>
      </c>
      <c r="K71" s="40"/>
      <c r="L71" s="40">
        <v>46195633</v>
      </c>
      <c r="M71" s="40">
        <v>9000000</v>
      </c>
      <c r="N71" s="40"/>
      <c r="O71" s="40">
        <v>14750000</v>
      </c>
      <c r="P71" s="40">
        <v>359170000</v>
      </c>
      <c r="Q71" s="40">
        <v>0</v>
      </c>
      <c r="R71" s="40">
        <v>0</v>
      </c>
      <c r="S71" s="50"/>
      <c r="T71" s="50">
        <f t="shared" si="23"/>
        <v>443115633</v>
      </c>
      <c r="U71" s="50">
        <f t="shared" si="24"/>
        <v>145702353</v>
      </c>
    </row>
    <row r="72" spans="1:21">
      <c r="A72" s="13">
        <v>30507180404</v>
      </c>
      <c r="B72" s="13" t="s">
        <v>17</v>
      </c>
      <c r="C72" s="40">
        <v>165000000</v>
      </c>
      <c r="D72" s="25"/>
      <c r="E72" s="25"/>
      <c r="F72" s="40"/>
      <c r="G72" s="40">
        <f t="shared" si="22"/>
        <v>165000000</v>
      </c>
      <c r="H72" s="40"/>
      <c r="I72" s="40"/>
      <c r="J72" s="40"/>
      <c r="K72" s="40"/>
      <c r="L72" s="40"/>
      <c r="M72" s="40">
        <v>0</v>
      </c>
      <c r="N72" s="40"/>
      <c r="O72" s="40"/>
      <c r="P72" s="40">
        <v>0</v>
      </c>
      <c r="Q72" s="40">
        <v>0</v>
      </c>
      <c r="R72" s="40">
        <v>0</v>
      </c>
      <c r="S72" s="50"/>
      <c r="T72" s="50">
        <f t="shared" si="23"/>
        <v>0</v>
      </c>
      <c r="U72" s="50">
        <f t="shared" si="24"/>
        <v>165000000</v>
      </c>
    </row>
    <row r="73" spans="1:21">
      <c r="A73" s="13">
        <v>30507180405</v>
      </c>
      <c r="B73" s="13" t="s">
        <v>18</v>
      </c>
      <c r="C73" s="40">
        <v>165000000</v>
      </c>
      <c r="D73" s="25"/>
      <c r="E73" s="25"/>
      <c r="F73" s="40">
        <v>380000000</v>
      </c>
      <c r="G73" s="40">
        <f t="shared" si="22"/>
        <v>545000000</v>
      </c>
      <c r="H73" s="40"/>
      <c r="I73" s="40">
        <v>21000000</v>
      </c>
      <c r="J73" s="40"/>
      <c r="K73" s="40">
        <v>17400000</v>
      </c>
      <c r="L73" s="40">
        <v>119800000</v>
      </c>
      <c r="M73" s="40">
        <v>3000000</v>
      </c>
      <c r="N73" s="40">
        <v>259260000</v>
      </c>
      <c r="O73" s="40"/>
      <c r="P73" s="40">
        <v>119962545</v>
      </c>
      <c r="Q73" s="40">
        <v>0</v>
      </c>
      <c r="R73" s="40">
        <v>0</v>
      </c>
      <c r="S73" s="50"/>
      <c r="T73" s="50">
        <f t="shared" si="23"/>
        <v>540422545</v>
      </c>
      <c r="U73" s="50">
        <f t="shared" si="24"/>
        <v>4577455</v>
      </c>
    </row>
    <row r="74" spans="1:21">
      <c r="A74" s="13">
        <v>30507180406</v>
      </c>
      <c r="B74" s="30" t="s">
        <v>19</v>
      </c>
      <c r="C74" s="40">
        <v>500000000</v>
      </c>
      <c r="D74" s="25"/>
      <c r="E74" s="25"/>
      <c r="F74" s="40">
        <v>751000000</v>
      </c>
      <c r="G74" s="40">
        <f t="shared" si="22"/>
        <v>1251000000</v>
      </c>
      <c r="H74" s="40"/>
      <c r="I74" s="40">
        <v>84300000</v>
      </c>
      <c r="J74" s="40">
        <v>11200000</v>
      </c>
      <c r="K74" s="40">
        <v>7983591</v>
      </c>
      <c r="L74" s="40">
        <v>289773334</v>
      </c>
      <c r="M74" s="40">
        <v>55236000</v>
      </c>
      <c r="N74" s="40"/>
      <c r="O74" s="40">
        <v>313000000</v>
      </c>
      <c r="P74" s="40">
        <v>371395600</v>
      </c>
      <c r="Q74" s="40">
        <v>0</v>
      </c>
      <c r="R74" s="40">
        <v>0</v>
      </c>
      <c r="S74" s="50">
        <v>3900000</v>
      </c>
      <c r="T74" s="50">
        <f t="shared" si="23"/>
        <v>1136788525</v>
      </c>
      <c r="U74" s="50">
        <f t="shared" si="24"/>
        <v>114211475</v>
      </c>
    </row>
    <row r="75" spans="1:21">
      <c r="A75" s="18"/>
      <c r="B75" s="28" t="s">
        <v>169</v>
      </c>
      <c r="C75" s="29">
        <f>SUM(C69:C74)</f>
        <v>2570000000</v>
      </c>
      <c r="D75" s="29">
        <f>SUM(D69:D74)</f>
        <v>0</v>
      </c>
      <c r="E75" s="29">
        <f>SUM(E69:E74)</f>
        <v>0</v>
      </c>
      <c r="F75" s="29">
        <f>SUM(F69:F74)</f>
        <v>2079817986</v>
      </c>
      <c r="G75" s="29">
        <f>SUM(G69:G74)</f>
        <v>4649817986</v>
      </c>
      <c r="H75" s="29">
        <f t="shared" ref="H75:P75" si="25">SUM(H69:H74)</f>
        <v>0</v>
      </c>
      <c r="I75" s="29">
        <f t="shared" si="25"/>
        <v>117300000</v>
      </c>
      <c r="J75" s="29">
        <f t="shared" si="25"/>
        <v>19800000</v>
      </c>
      <c r="K75" s="29">
        <f t="shared" si="25"/>
        <v>108508211</v>
      </c>
      <c r="L75" s="29">
        <f t="shared" si="25"/>
        <v>872281493</v>
      </c>
      <c r="M75" s="29">
        <f t="shared" si="25"/>
        <v>188143709</v>
      </c>
      <c r="N75" s="29">
        <f t="shared" si="25"/>
        <v>1042300054</v>
      </c>
      <c r="O75" s="29">
        <f t="shared" si="25"/>
        <v>327750000</v>
      </c>
      <c r="P75" s="29">
        <f t="shared" si="25"/>
        <v>1315158345</v>
      </c>
      <c r="Q75" s="29">
        <f>SUM(Q69:Q74)</f>
        <v>48500000</v>
      </c>
      <c r="R75" s="29">
        <f>SUM(R69:R74)</f>
        <v>0</v>
      </c>
      <c r="S75" s="51">
        <f>SUM(S69:S74)</f>
        <v>5500000</v>
      </c>
      <c r="T75" s="51">
        <f>SUM(T69:T74)</f>
        <v>4045241812</v>
      </c>
      <c r="U75" s="51">
        <f>SUM(U69:U74)</f>
        <v>604576174</v>
      </c>
    </row>
    <row r="76" spans="1:21" ht="15.75">
      <c r="A76" s="70" t="s">
        <v>217</v>
      </c>
      <c r="B76" s="70"/>
      <c r="C76" s="31">
        <f>C62+C67+C75</f>
        <v>9970000000</v>
      </c>
      <c r="D76" s="31">
        <f>D62+D67+D75</f>
        <v>588000000</v>
      </c>
      <c r="E76" s="31">
        <f>E62+E67+E75</f>
        <v>588000000</v>
      </c>
      <c r="F76" s="31">
        <f>F62+F67+F75</f>
        <v>2079817986</v>
      </c>
      <c r="G76" s="31">
        <f t="shared" ref="G76:P76" si="26">G62+G67+G75</f>
        <v>12049817986</v>
      </c>
      <c r="H76" s="31">
        <f t="shared" si="26"/>
        <v>447165025</v>
      </c>
      <c r="I76" s="31">
        <f t="shared" si="26"/>
        <v>847692382</v>
      </c>
      <c r="J76" s="31">
        <f t="shared" si="26"/>
        <v>593154210</v>
      </c>
      <c r="K76" s="31">
        <f t="shared" si="26"/>
        <v>767214710</v>
      </c>
      <c r="L76" s="31">
        <f t="shared" si="26"/>
        <v>1338868882</v>
      </c>
      <c r="M76" s="31">
        <f t="shared" si="26"/>
        <v>1220117524</v>
      </c>
      <c r="N76" s="31">
        <f t="shared" si="26"/>
        <v>1584354216</v>
      </c>
      <c r="O76" s="31">
        <f t="shared" si="26"/>
        <v>720150623</v>
      </c>
      <c r="P76" s="31">
        <f t="shared" si="26"/>
        <v>1800667157</v>
      </c>
      <c r="Q76" s="31">
        <f>Q62+Q67+Q75</f>
        <v>405166326</v>
      </c>
      <c r="R76" s="31">
        <f>R62+R67+R75</f>
        <v>355416952</v>
      </c>
      <c r="S76" s="53">
        <f>S62+S67+S75</f>
        <v>707799257</v>
      </c>
      <c r="T76" s="53">
        <f>T62+T67+T75</f>
        <v>10787767264</v>
      </c>
      <c r="U76" s="53">
        <f>U62+U67+U75</f>
        <v>1262050722</v>
      </c>
    </row>
    <row r="77" spans="1:21">
      <c r="A77" t="s">
        <v>204</v>
      </c>
      <c r="H77"/>
      <c r="I77"/>
      <c r="J77"/>
      <c r="K77"/>
      <c r="L77"/>
      <c r="M77"/>
      <c r="N77"/>
      <c r="O77"/>
      <c r="P77"/>
      <c r="Q77"/>
      <c r="R77"/>
    </row>
    <row r="78" spans="1:21">
      <c r="H78"/>
      <c r="I78"/>
      <c r="J78"/>
      <c r="K78"/>
      <c r="L78"/>
      <c r="M78"/>
      <c r="N78"/>
      <c r="O78"/>
      <c r="P78"/>
      <c r="Q78"/>
      <c r="R78"/>
    </row>
    <row r="79" spans="1:21" ht="15" customHeight="1">
      <c r="G79" s="55"/>
      <c r="H79"/>
      <c r="I79"/>
      <c r="J79"/>
      <c r="K79"/>
      <c r="L79"/>
      <c r="M79"/>
      <c r="N79"/>
      <c r="O79"/>
      <c r="P79"/>
      <c r="Q79"/>
      <c r="R79"/>
    </row>
    <row r="80" spans="1:21">
      <c r="E80" s="47"/>
      <c r="H80"/>
      <c r="I80"/>
      <c r="J80"/>
      <c r="K80"/>
      <c r="L80"/>
      <c r="M80"/>
      <c r="N80"/>
      <c r="O80"/>
      <c r="P80"/>
      <c r="Q80"/>
      <c r="R80"/>
    </row>
    <row r="81" spans="7:18">
      <c r="H81"/>
      <c r="I81"/>
      <c r="J81"/>
      <c r="K81"/>
      <c r="L81"/>
      <c r="M81"/>
      <c r="N81"/>
      <c r="O81"/>
      <c r="P81"/>
      <c r="Q81"/>
      <c r="R81"/>
    </row>
    <row r="82" spans="7:18">
      <c r="G82" s="55"/>
      <c r="H82"/>
      <c r="I82"/>
      <c r="J82"/>
      <c r="K82"/>
      <c r="L82"/>
      <c r="M82"/>
      <c r="N82"/>
      <c r="O82"/>
      <c r="P82"/>
      <c r="Q82"/>
      <c r="R82"/>
    </row>
    <row r="83" spans="7:18">
      <c r="H83"/>
      <c r="I83"/>
      <c r="J83"/>
      <c r="K83"/>
      <c r="L83"/>
      <c r="M83"/>
      <c r="N83"/>
      <c r="O83"/>
      <c r="P83"/>
      <c r="Q83"/>
      <c r="R83"/>
    </row>
    <row r="84" spans="7:18">
      <c r="H84"/>
      <c r="I84"/>
      <c r="J84"/>
      <c r="K84"/>
      <c r="L84"/>
      <c r="M84"/>
      <c r="N84"/>
      <c r="O84"/>
      <c r="P84"/>
      <c r="Q84"/>
      <c r="R84"/>
    </row>
    <row r="85" spans="7:18">
      <c r="H85"/>
      <c r="I85"/>
      <c r="J85"/>
      <c r="K85"/>
      <c r="L85"/>
      <c r="M85"/>
      <c r="N85"/>
      <c r="O85"/>
      <c r="P85"/>
      <c r="Q85"/>
      <c r="R85"/>
    </row>
    <row r="86" spans="7:18">
      <c r="H86"/>
      <c r="I86"/>
      <c r="J86"/>
      <c r="K86"/>
      <c r="L86"/>
      <c r="M86"/>
      <c r="N86"/>
      <c r="O86"/>
      <c r="P86"/>
      <c r="Q86"/>
      <c r="R86"/>
    </row>
    <row r="87" spans="7:18">
      <c r="H87"/>
      <c r="I87"/>
      <c r="J87"/>
      <c r="K87"/>
      <c r="L87"/>
      <c r="M87"/>
      <c r="N87"/>
      <c r="O87"/>
      <c r="P87"/>
      <c r="Q87"/>
      <c r="R87"/>
    </row>
  </sheetData>
  <mergeCells count="24">
    <mergeCell ref="A1:R1"/>
    <mergeCell ref="A2:R2"/>
    <mergeCell ref="A3:R3"/>
    <mergeCell ref="M4:M5"/>
    <mergeCell ref="P4:P5"/>
    <mergeCell ref="N4:N5"/>
    <mergeCell ref="O4:O5"/>
    <mergeCell ref="F4:F5"/>
    <mergeCell ref="G4:G5"/>
    <mergeCell ref="H4:H5"/>
    <mergeCell ref="I4:I5"/>
    <mergeCell ref="J4:J5"/>
    <mergeCell ref="U4:U5"/>
    <mergeCell ref="T4:T5"/>
    <mergeCell ref="Q4:Q5"/>
    <mergeCell ref="R4:R5"/>
    <mergeCell ref="K4:K5"/>
    <mergeCell ref="L4:L5"/>
    <mergeCell ref="S4:S5"/>
    <mergeCell ref="A76:B76"/>
    <mergeCell ref="D4:E4"/>
    <mergeCell ref="A4:A5"/>
    <mergeCell ref="B4:B5"/>
    <mergeCell ref="C4:C5"/>
  </mergeCells>
  <pageMargins left="0.96" right="0.17" top="0.75" bottom="1.03" header="0.44" footer="0.66"/>
  <pageSetup scale="70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Hoja1</vt:lpstr>
      <vt:lpstr>ingresos</vt:lpstr>
      <vt:lpstr>gastos</vt:lpstr>
      <vt:lpstr>gastos!Área_de_impresión</vt:lpstr>
      <vt:lpstr>Hoja1!Área_de_impresión</vt:lpstr>
      <vt:lpstr>ingresos!Área_de_impresión</vt:lpstr>
      <vt:lpstr>gastos!Títulos_a_imprimir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FINANCIERA1</dc:creator>
  <cp:lastModifiedBy>FINANCIERA1</cp:lastModifiedBy>
  <cp:lastPrinted>2015-12-30T21:51:02Z</cp:lastPrinted>
  <dcterms:created xsi:type="dcterms:W3CDTF">2014-08-27T19:53:32Z</dcterms:created>
  <dcterms:modified xsi:type="dcterms:W3CDTF">2016-11-01T19:40:48Z</dcterms:modified>
</cp:coreProperties>
</file>