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 activeTab="2"/>
  </bookViews>
  <sheets>
    <sheet name="PROY PPTO 2017" sheetId="1" r:id="rId1"/>
    <sheet name="PROY LIQ PPTO GASTO 2017" sheetId="2" r:id="rId2"/>
    <sheet name="PROY LIQ PPTO ING 2017" sheetId="3" r:id="rId3"/>
    <sheet name="Hoja1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L47" i="3"/>
  <c r="T58" i="5" l="1"/>
  <c r="P58"/>
  <c r="L58"/>
  <c r="H58"/>
  <c r="D58"/>
  <c r="C58"/>
  <c r="W57"/>
  <c r="V57"/>
  <c r="W56"/>
  <c r="V56"/>
  <c r="V55"/>
  <c r="U55"/>
  <c r="S55"/>
  <c r="Q55"/>
  <c r="O55"/>
  <c r="M55"/>
  <c r="K55"/>
  <c r="I55"/>
  <c r="G55"/>
  <c r="E55"/>
  <c r="V54"/>
  <c r="U54"/>
  <c r="S54"/>
  <c r="Q54"/>
  <c r="O54"/>
  <c r="M54"/>
  <c r="K54"/>
  <c r="I54"/>
  <c r="G54"/>
  <c r="E54"/>
  <c r="V53"/>
  <c r="U53"/>
  <c r="S53"/>
  <c r="Q53"/>
  <c r="O53"/>
  <c r="M53"/>
  <c r="K53"/>
  <c r="I53"/>
  <c r="G53"/>
  <c r="E53"/>
  <c r="V52"/>
  <c r="V51" s="1"/>
  <c r="U52"/>
  <c r="S52"/>
  <c r="Q52"/>
  <c r="O52"/>
  <c r="M52"/>
  <c r="K52"/>
  <c r="I52"/>
  <c r="G52"/>
  <c r="E52"/>
  <c r="T51"/>
  <c r="R51"/>
  <c r="R58" s="1"/>
  <c r="P51"/>
  <c r="N51"/>
  <c r="N58" s="1"/>
  <c r="L51"/>
  <c r="J51"/>
  <c r="J58" s="1"/>
  <c r="H51"/>
  <c r="F51"/>
  <c r="F58" s="1"/>
  <c r="D51"/>
  <c r="C51"/>
  <c r="W50"/>
  <c r="V50"/>
  <c r="W49"/>
  <c r="W48"/>
  <c r="V46"/>
  <c r="U46"/>
  <c r="S46"/>
  <c r="Q46"/>
  <c r="O46"/>
  <c r="M46"/>
  <c r="K46"/>
  <c r="I46"/>
  <c r="G46"/>
  <c r="E46"/>
  <c r="V45"/>
  <c r="U45"/>
  <c r="S45"/>
  <c r="Q45"/>
  <c r="O45"/>
  <c r="M45"/>
  <c r="K45"/>
  <c r="I45"/>
  <c r="G45"/>
  <c r="E45"/>
  <c r="V44"/>
  <c r="U44"/>
  <c r="S44"/>
  <c r="Q44"/>
  <c r="O44"/>
  <c r="M44"/>
  <c r="K44"/>
  <c r="I44"/>
  <c r="G44"/>
  <c r="E44"/>
  <c r="W43"/>
  <c r="V43"/>
  <c r="W42"/>
  <c r="V42"/>
  <c r="W41"/>
  <c r="V41"/>
  <c r="W40"/>
  <c r="V40"/>
  <c r="W39"/>
  <c r="V39"/>
  <c r="V38"/>
  <c r="U38"/>
  <c r="S38"/>
  <c r="Q38"/>
  <c r="O38"/>
  <c r="M38"/>
  <c r="K38"/>
  <c r="I38"/>
  <c r="G38"/>
  <c r="E38"/>
  <c r="V37"/>
  <c r="U37"/>
  <c r="S37"/>
  <c r="Q37"/>
  <c r="O37"/>
  <c r="M37"/>
  <c r="K37"/>
  <c r="I37"/>
  <c r="E37"/>
  <c r="V36"/>
  <c r="U36"/>
  <c r="S36"/>
  <c r="Q36"/>
  <c r="O36"/>
  <c r="M36"/>
  <c r="K36"/>
  <c r="I36"/>
  <c r="G36"/>
  <c r="E36"/>
  <c r="V35"/>
  <c r="U35"/>
  <c r="S35"/>
  <c r="Q35"/>
  <c r="O35"/>
  <c r="M35"/>
  <c r="K35"/>
  <c r="I35"/>
  <c r="G35"/>
  <c r="E35"/>
  <c r="V34"/>
  <c r="U34"/>
  <c r="S34"/>
  <c r="Q34"/>
  <c r="O34"/>
  <c r="M34"/>
  <c r="K34"/>
  <c r="I34"/>
  <c r="G34"/>
  <c r="E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V23"/>
  <c r="U23"/>
  <c r="S23"/>
  <c r="Q23"/>
  <c r="O23"/>
  <c r="M23"/>
  <c r="K23"/>
  <c r="I23"/>
  <c r="G23"/>
  <c r="E23"/>
  <c r="W22"/>
  <c r="V22"/>
  <c r="W21"/>
  <c r="V21"/>
  <c r="V20"/>
  <c r="U20"/>
  <c r="S20"/>
  <c r="Q20"/>
  <c r="O20"/>
  <c r="M20"/>
  <c r="K20"/>
  <c r="I20"/>
  <c r="G20"/>
  <c r="E20"/>
  <c r="W19"/>
  <c r="V19"/>
  <c r="W18"/>
  <c r="V18"/>
  <c r="W17"/>
  <c r="V17"/>
  <c r="V16"/>
  <c r="U16"/>
  <c r="S16"/>
  <c r="Q16"/>
  <c r="O16"/>
  <c r="M16"/>
  <c r="K16"/>
  <c r="I16"/>
  <c r="G16"/>
  <c r="E16"/>
  <c r="V15"/>
  <c r="U15"/>
  <c r="S15"/>
  <c r="Q15"/>
  <c r="O15"/>
  <c r="M15"/>
  <c r="K15"/>
  <c r="I15"/>
  <c r="G15"/>
  <c r="E15"/>
  <c r="W14"/>
  <c r="V14"/>
  <c r="V13"/>
  <c r="U13"/>
  <c r="S13"/>
  <c r="O13"/>
  <c r="K13"/>
  <c r="I13"/>
  <c r="G13"/>
  <c r="E13"/>
  <c r="V12"/>
  <c r="U12"/>
  <c r="S12"/>
  <c r="Q12"/>
  <c r="O12"/>
  <c r="M12"/>
  <c r="K12"/>
  <c r="I12"/>
  <c r="G12"/>
  <c r="E12"/>
  <c r="V11"/>
  <c r="U11"/>
  <c r="S11"/>
  <c r="Q11"/>
  <c r="O11"/>
  <c r="M11"/>
  <c r="K11"/>
  <c r="I11"/>
  <c r="G11"/>
  <c r="E11"/>
  <c r="V10"/>
  <c r="U10"/>
  <c r="S10"/>
  <c r="Q10"/>
  <c r="O10"/>
  <c r="M10"/>
  <c r="K10"/>
  <c r="I10"/>
  <c r="G10"/>
  <c r="E10"/>
  <c r="W9"/>
  <c r="V9"/>
  <c r="V8"/>
  <c r="U8"/>
  <c r="S8"/>
  <c r="Q8"/>
  <c r="O8"/>
  <c r="M8"/>
  <c r="K8"/>
  <c r="I8"/>
  <c r="G8"/>
  <c r="E8"/>
  <c r="V7"/>
  <c r="U7"/>
  <c r="S7"/>
  <c r="Q7"/>
  <c r="O7"/>
  <c r="M7"/>
  <c r="K7"/>
  <c r="I7"/>
  <c r="G7"/>
  <c r="E7"/>
  <c r="V6"/>
  <c r="U6"/>
  <c r="S6"/>
  <c r="Q6"/>
  <c r="O6"/>
  <c r="M6"/>
  <c r="K6"/>
  <c r="I6"/>
  <c r="G6"/>
  <c r="E6"/>
  <c r="V5"/>
  <c r="T5"/>
  <c r="R5"/>
  <c r="P5"/>
  <c r="N5"/>
  <c r="L5"/>
  <c r="J5"/>
  <c r="H5"/>
  <c r="F5"/>
  <c r="D5"/>
  <c r="C5"/>
  <c r="W4"/>
  <c r="V4"/>
  <c r="S4"/>
  <c r="S3" s="1"/>
  <c r="V3"/>
  <c r="V47" s="1"/>
  <c r="U3"/>
  <c r="T3"/>
  <c r="T47" s="1"/>
  <c r="T59" s="1"/>
  <c r="R3"/>
  <c r="R47" s="1"/>
  <c r="Q3"/>
  <c r="P3"/>
  <c r="P47" s="1"/>
  <c r="P59" s="1"/>
  <c r="O3"/>
  <c r="N3"/>
  <c r="N47" s="1"/>
  <c r="N59" s="1"/>
  <c r="M3"/>
  <c r="L3"/>
  <c r="L47" s="1"/>
  <c r="L59" s="1"/>
  <c r="K3"/>
  <c r="J3"/>
  <c r="J47" s="1"/>
  <c r="J59" s="1"/>
  <c r="I3"/>
  <c r="H3"/>
  <c r="H47" s="1"/>
  <c r="H59" s="1"/>
  <c r="G3"/>
  <c r="F3"/>
  <c r="F47" s="1"/>
  <c r="F59" s="1"/>
  <c r="E3"/>
  <c r="D3"/>
  <c r="D47" s="1"/>
  <c r="D59" s="1"/>
  <c r="C3"/>
  <c r="C47" s="1"/>
  <c r="C59" s="1"/>
  <c r="G51" l="1"/>
  <c r="G58" s="1"/>
  <c r="M51"/>
  <c r="M58" s="1"/>
  <c r="U51"/>
  <c r="U58" s="1"/>
  <c r="W45"/>
  <c r="O51"/>
  <c r="O58" s="1"/>
  <c r="Q51"/>
  <c r="Q58" s="1"/>
  <c r="I5"/>
  <c r="I47" s="1"/>
  <c r="W13"/>
  <c r="W34"/>
  <c r="W52"/>
  <c r="G5"/>
  <c r="G47" s="1"/>
  <c r="K5"/>
  <c r="K47" s="1"/>
  <c r="W38"/>
  <c r="W44"/>
  <c r="E51"/>
  <c r="E58" s="1"/>
  <c r="K51"/>
  <c r="K58" s="1"/>
  <c r="S51"/>
  <c r="S58" s="1"/>
  <c r="W46"/>
  <c r="Q5"/>
  <c r="Q47" s="1"/>
  <c r="W10"/>
  <c r="W11"/>
  <c r="W15"/>
  <c r="W16"/>
  <c r="W35"/>
  <c r="W53"/>
  <c r="O5"/>
  <c r="O47" s="1"/>
  <c r="S5"/>
  <c r="S47" s="1"/>
  <c r="W7"/>
  <c r="W8"/>
  <c r="M5"/>
  <c r="M47" s="1"/>
  <c r="M59" s="1"/>
  <c r="U5"/>
  <c r="U47" s="1"/>
  <c r="U59" s="1"/>
  <c r="W12"/>
  <c r="W20"/>
  <c r="W23"/>
  <c r="W36"/>
  <c r="W37"/>
  <c r="I51"/>
  <c r="I58" s="1"/>
  <c r="W54"/>
  <c r="W55"/>
  <c r="W3"/>
  <c r="V59"/>
  <c r="V58"/>
  <c r="R59"/>
  <c r="W6"/>
  <c r="E5"/>
  <c r="E47" s="1"/>
  <c r="O59" l="1"/>
  <c r="G59"/>
  <c r="S59"/>
  <c r="K59"/>
  <c r="I59"/>
  <c r="Q59"/>
  <c r="W51"/>
  <c r="W58" s="1"/>
  <c r="W5"/>
  <c r="W47" s="1"/>
  <c r="E59"/>
  <c r="W59" l="1"/>
  <c r="M3" i="3"/>
  <c r="M43"/>
  <c r="M42"/>
  <c r="M41"/>
  <c r="M40"/>
  <c r="M39"/>
  <c r="M33"/>
  <c r="M32"/>
  <c r="M31"/>
  <c r="M30"/>
  <c r="M29"/>
  <c r="M28"/>
  <c r="M27"/>
  <c r="M26"/>
  <c r="M25"/>
  <c r="M24"/>
  <c r="M22"/>
  <c r="M21"/>
  <c r="M19"/>
  <c r="M18"/>
  <c r="M17"/>
  <c r="M14"/>
  <c r="M9"/>
  <c r="M4"/>
  <c r="L4"/>
  <c r="K4"/>
  <c r="L58"/>
  <c r="L3"/>
  <c r="K3"/>
  <c r="L5"/>
  <c r="L59" s="1"/>
  <c r="Q69" i="2"/>
  <c r="Q68"/>
  <c r="Q67"/>
  <c r="Q66"/>
  <c r="Q65"/>
  <c r="Q62"/>
  <c r="Q61"/>
  <c r="Q60"/>
  <c r="Q57"/>
  <c r="Q56"/>
  <c r="Q55"/>
  <c r="Q53"/>
  <c r="Q52"/>
  <c r="Q51"/>
  <c r="Q50"/>
  <c r="Q47"/>
  <c r="Q46"/>
  <c r="Q45"/>
  <c r="Q44"/>
  <c r="Q43"/>
  <c r="Q42"/>
  <c r="Q41"/>
  <c r="Q40"/>
  <c r="Q39"/>
  <c r="Q38"/>
  <c r="Q36"/>
  <c r="Q35"/>
  <c r="Q34"/>
  <c r="Q33"/>
  <c r="Q32"/>
  <c r="Q31"/>
  <c r="Q28"/>
  <c r="Q27"/>
  <c r="Q26"/>
  <c r="Q25"/>
  <c r="Q24"/>
  <c r="Q23"/>
  <c r="Q21"/>
  <c r="Q20"/>
  <c r="Q19"/>
  <c r="Q18"/>
  <c r="Q16"/>
  <c r="Q15"/>
  <c r="Q14"/>
  <c r="Q13"/>
  <c r="Q12"/>
  <c r="Q11"/>
  <c r="Q10"/>
  <c r="Q9"/>
  <c r="Q8"/>
  <c r="Q7"/>
  <c r="Q6"/>
  <c r="P70"/>
  <c r="P54"/>
  <c r="P49"/>
  <c r="P37"/>
  <c r="P30"/>
  <c r="P17"/>
  <c r="P22"/>
  <c r="P5"/>
  <c r="P58" s="1"/>
  <c r="P71" s="1"/>
  <c r="K51" i="3" l="1"/>
  <c r="K5"/>
  <c r="K47" s="1"/>
  <c r="K55"/>
  <c r="K54"/>
  <c r="K22"/>
  <c r="K9"/>
  <c r="Q54" i="2"/>
  <c r="O17"/>
  <c r="O27"/>
  <c r="N27"/>
  <c r="O70"/>
  <c r="O54"/>
  <c r="O49"/>
  <c r="O37"/>
  <c r="O30"/>
  <c r="O22"/>
  <c r="O5"/>
  <c r="C31" i="1"/>
  <c r="C15"/>
  <c r="C9"/>
  <c r="C6"/>
  <c r="F70" i="2"/>
  <c r="E70"/>
  <c r="D70"/>
  <c r="G69"/>
  <c r="G68"/>
  <c r="G67"/>
  <c r="G66"/>
  <c r="G65"/>
  <c r="G70" s="1"/>
  <c r="G62"/>
  <c r="G61"/>
  <c r="G60"/>
  <c r="G57"/>
  <c r="G56"/>
  <c r="G55"/>
  <c r="G53"/>
  <c r="G52"/>
  <c r="G51"/>
  <c r="G50"/>
  <c r="G49" s="1"/>
  <c r="F49"/>
  <c r="E49"/>
  <c r="D49"/>
  <c r="G47"/>
  <c r="G46"/>
  <c r="G45"/>
  <c r="G44"/>
  <c r="G43"/>
  <c r="G42"/>
  <c r="G41"/>
  <c r="G40"/>
  <c r="G39"/>
  <c r="G38"/>
  <c r="F37"/>
  <c r="E37"/>
  <c r="D37"/>
  <c r="G36"/>
  <c r="G35"/>
  <c r="G34"/>
  <c r="G33"/>
  <c r="G32"/>
  <c r="G31"/>
  <c r="G30" s="1"/>
  <c r="F30"/>
  <c r="E30"/>
  <c r="D30"/>
  <c r="G28"/>
  <c r="G27"/>
  <c r="G26"/>
  <c r="G25"/>
  <c r="G24"/>
  <c r="G23"/>
  <c r="F22"/>
  <c r="E22"/>
  <c r="D22"/>
  <c r="G21"/>
  <c r="G20"/>
  <c r="G19"/>
  <c r="G18"/>
  <c r="G17" s="1"/>
  <c r="F17"/>
  <c r="E17"/>
  <c r="D17"/>
  <c r="F5"/>
  <c r="E5"/>
  <c r="D5"/>
  <c r="G16"/>
  <c r="G15"/>
  <c r="G14"/>
  <c r="G13"/>
  <c r="G12"/>
  <c r="G11"/>
  <c r="G10"/>
  <c r="G9"/>
  <c r="G8"/>
  <c r="G7"/>
  <c r="G6"/>
  <c r="O58" l="1"/>
  <c r="D58"/>
  <c r="D71" s="1"/>
  <c r="G5"/>
  <c r="E58"/>
  <c r="E71" s="1"/>
  <c r="O71"/>
  <c r="K58" i="3"/>
  <c r="K59" s="1"/>
  <c r="G22" i="2"/>
  <c r="G37"/>
  <c r="J55" i="3"/>
  <c r="J3"/>
  <c r="J54"/>
  <c r="J53"/>
  <c r="J52"/>
  <c r="J51" l="1"/>
  <c r="J58" s="1"/>
  <c r="J22"/>
  <c r="J6"/>
  <c r="J9"/>
  <c r="N70" i="2"/>
  <c r="N54"/>
  <c r="N49"/>
  <c r="N37"/>
  <c r="N30"/>
  <c r="N22"/>
  <c r="N17"/>
  <c r="N5"/>
  <c r="N58" l="1"/>
  <c r="N71" s="1"/>
  <c r="J5" i="3"/>
  <c r="J47" s="1"/>
  <c r="J59" s="1"/>
  <c r="Q30" i="2"/>
  <c r="M70"/>
  <c r="M54"/>
  <c r="M49"/>
  <c r="M37"/>
  <c r="M30"/>
  <c r="M27"/>
  <c r="M22" s="1"/>
  <c r="M17"/>
  <c r="M5"/>
  <c r="M56" i="3"/>
  <c r="I55"/>
  <c r="I54"/>
  <c r="I53"/>
  <c r="I52"/>
  <c r="I36"/>
  <c r="I22"/>
  <c r="I9"/>
  <c r="I7"/>
  <c r="I6"/>
  <c r="I3"/>
  <c r="I5" l="1"/>
  <c r="I51"/>
  <c r="I58" s="1"/>
  <c r="I47"/>
  <c r="M58" i="2"/>
  <c r="M71" s="1"/>
  <c r="H55" i="3"/>
  <c r="H54"/>
  <c r="H53"/>
  <c r="H52"/>
  <c r="H46"/>
  <c r="H45"/>
  <c r="H44"/>
  <c r="H38"/>
  <c r="H37"/>
  <c r="H36"/>
  <c r="H35"/>
  <c r="H34"/>
  <c r="H23"/>
  <c r="H20"/>
  <c r="H16"/>
  <c r="H15"/>
  <c r="H12"/>
  <c r="H11"/>
  <c r="H10"/>
  <c r="H8"/>
  <c r="H7"/>
  <c r="H6"/>
  <c r="M57"/>
  <c r="M50"/>
  <c r="M49"/>
  <c r="M48"/>
  <c r="G55"/>
  <c r="G54"/>
  <c r="G53"/>
  <c r="G52"/>
  <c r="G37"/>
  <c r="G20"/>
  <c r="G13"/>
  <c r="G12"/>
  <c r="G11"/>
  <c r="G7"/>
  <c r="G45"/>
  <c r="G34"/>
  <c r="G38"/>
  <c r="G23"/>
  <c r="G44"/>
  <c r="G15"/>
  <c r="G8"/>
  <c r="G36"/>
  <c r="G35"/>
  <c r="G16"/>
  <c r="G6"/>
  <c r="G46"/>
  <c r="G10"/>
  <c r="F38"/>
  <c r="F55"/>
  <c r="F54"/>
  <c r="F53"/>
  <c r="F52"/>
  <c r="F46"/>
  <c r="F45"/>
  <c r="F44"/>
  <c r="F37"/>
  <c r="F36"/>
  <c r="F35"/>
  <c r="F34"/>
  <c r="F23"/>
  <c r="F20"/>
  <c r="F16"/>
  <c r="F15"/>
  <c r="F13"/>
  <c r="F12"/>
  <c r="F10"/>
  <c r="F11"/>
  <c r="F8"/>
  <c r="F7"/>
  <c r="F6"/>
  <c r="E55"/>
  <c r="E54"/>
  <c r="E53"/>
  <c r="E52"/>
  <c r="E46"/>
  <c r="E45"/>
  <c r="E44"/>
  <c r="E38"/>
  <c r="E36"/>
  <c r="E35"/>
  <c r="E34"/>
  <c r="E23"/>
  <c r="E20"/>
  <c r="E16"/>
  <c r="E15"/>
  <c r="E13"/>
  <c r="E12"/>
  <c r="E11"/>
  <c r="E10"/>
  <c r="E8"/>
  <c r="E7"/>
  <c r="E6"/>
  <c r="D55"/>
  <c r="D54"/>
  <c r="D53"/>
  <c r="D52"/>
  <c r="D46"/>
  <c r="C5"/>
  <c r="D20"/>
  <c r="D45"/>
  <c r="D44"/>
  <c r="D38"/>
  <c r="D37"/>
  <c r="D36"/>
  <c r="D35"/>
  <c r="D34"/>
  <c r="D23"/>
  <c r="D16"/>
  <c r="D15"/>
  <c r="D13"/>
  <c r="D12"/>
  <c r="D11"/>
  <c r="D10"/>
  <c r="M16" l="1"/>
  <c r="M11"/>
  <c r="M36"/>
  <c r="M45"/>
  <c r="M52"/>
  <c r="M10"/>
  <c r="M44"/>
  <c r="M46"/>
  <c r="M55"/>
  <c r="M15"/>
  <c r="M13"/>
  <c r="M38"/>
  <c r="M12"/>
  <c r="M23"/>
  <c r="M37"/>
  <c r="M20"/>
  <c r="M53"/>
  <c r="M35"/>
  <c r="M34"/>
  <c r="M54"/>
  <c r="I59"/>
  <c r="H5"/>
  <c r="G5"/>
  <c r="F5"/>
  <c r="E5"/>
  <c r="M51" l="1"/>
  <c r="D8"/>
  <c r="M8" s="1"/>
  <c r="D7"/>
  <c r="M7" s="1"/>
  <c r="D6"/>
  <c r="M6" s="1"/>
  <c r="H51"/>
  <c r="G51"/>
  <c r="G58" s="1"/>
  <c r="F51"/>
  <c r="F58" s="1"/>
  <c r="E51"/>
  <c r="E58" s="1"/>
  <c r="D51"/>
  <c r="C51"/>
  <c r="H3"/>
  <c r="H47" s="1"/>
  <c r="G3"/>
  <c r="G47" s="1"/>
  <c r="F3"/>
  <c r="F47" s="1"/>
  <c r="E3"/>
  <c r="E47" s="1"/>
  <c r="D3"/>
  <c r="C3"/>
  <c r="L27" i="2"/>
  <c r="L22" s="1"/>
  <c r="K27"/>
  <c r="L70"/>
  <c r="L54"/>
  <c r="K54"/>
  <c r="L49"/>
  <c r="K49"/>
  <c r="L37"/>
  <c r="K37"/>
  <c r="L30"/>
  <c r="K30"/>
  <c r="J30"/>
  <c r="I30"/>
  <c r="L17"/>
  <c r="K17"/>
  <c r="J17"/>
  <c r="L5"/>
  <c r="K5"/>
  <c r="M5" i="3" l="1"/>
  <c r="D58"/>
  <c r="L58" i="2"/>
  <c r="L71" s="1"/>
  <c r="K22"/>
  <c r="K58" s="1"/>
  <c r="C58" i="3"/>
  <c r="C47"/>
  <c r="H58"/>
  <c r="H59" s="1"/>
  <c r="G59"/>
  <c r="F59"/>
  <c r="E59"/>
  <c r="D5"/>
  <c r="Q5" i="2"/>
  <c r="M47" i="3" l="1"/>
  <c r="M58"/>
  <c r="C59"/>
  <c r="D47"/>
  <c r="D59" s="1"/>
  <c r="K70" i="2"/>
  <c r="K71" s="1"/>
  <c r="Q70"/>
  <c r="M59" i="3" l="1"/>
  <c r="H70" i="2" l="1"/>
  <c r="H49"/>
  <c r="H5"/>
  <c r="Q49"/>
  <c r="J54"/>
  <c r="I54"/>
  <c r="H54"/>
  <c r="F54"/>
  <c r="F58" s="1"/>
  <c r="F71" s="1"/>
  <c r="J70" l="1"/>
  <c r="J49" l="1"/>
  <c r="J37"/>
  <c r="J22"/>
  <c r="J5"/>
  <c r="J58" l="1"/>
  <c r="J71" s="1"/>
  <c r="I22"/>
  <c r="H28"/>
  <c r="I28"/>
  <c r="Q37"/>
  <c r="Q17"/>
  <c r="I49"/>
  <c r="I37"/>
  <c r="H37"/>
  <c r="H30"/>
  <c r="I17"/>
  <c r="H17"/>
  <c r="I5"/>
  <c r="I70"/>
  <c r="Q22" l="1"/>
  <c r="H22"/>
  <c r="H58" s="1"/>
  <c r="H71" s="1"/>
  <c r="I58"/>
  <c r="I71" s="1"/>
  <c r="C70" l="1"/>
  <c r="C54"/>
  <c r="G54" s="1"/>
  <c r="G58" s="1"/>
  <c r="G71" s="1"/>
  <c r="C49"/>
  <c r="C37"/>
  <c r="C30"/>
  <c r="C22"/>
  <c r="C17"/>
  <c r="C5"/>
  <c r="B9" i="1"/>
  <c r="C58" i="2" l="1"/>
  <c r="C71" s="1"/>
  <c r="B15" i="1"/>
  <c r="Q58" i="2"/>
  <c r="Q71" s="1"/>
  <c r="B31" i="1" l="1"/>
</calcChain>
</file>

<file path=xl/sharedStrings.xml><?xml version="1.0" encoding="utf-8"?>
<sst xmlns="http://schemas.openxmlformats.org/spreadsheetml/2006/main" count="353" uniqueCount="232">
  <si>
    <t>INSPECCION DE TRANSITO Y TRANSPORTE DE BARRANCABERMEJA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</si>
  <si>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</si>
  <si>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</si>
  <si>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</si>
  <si>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</si>
  <si>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</si>
  <si>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</si>
  <si>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</si>
  <si>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</si>
  <si>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</si>
  <si>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</si>
  <si>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</si>
  <si>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CULTURA DE LA MOVILIDAD SEGURA</t>
  </si>
  <si>
    <t>PROYECTO PRESUPUESTO DE INGRESOS VIGENCIA 2.017</t>
  </si>
  <si>
    <t>PROYECTO PRESUPUESTO DE GASTOS VIGENCIA 2.017</t>
  </si>
  <si>
    <t>SISTEMA INTEGRAL DE CONTROL DE TRAFICO</t>
  </si>
  <si>
    <t>EQUIPAMENTO URBANO Y LOGISTICO PARA EL TRANSPORTE</t>
  </si>
  <si>
    <t>FORTALECIMIENTO INSTITUCIONAL DE LA ITTB</t>
  </si>
  <si>
    <t>FUENTE: RECURSOS PROPIOS</t>
  </si>
  <si>
    <t>TOTAL PRESUPUESTO VIGENCIA 2.017</t>
  </si>
  <si>
    <t>PLAN DE MOVILIDAD URBANA SOSTENIBLE (PMUS)</t>
  </si>
  <si>
    <t>INVERSION: PROGRAMA MOVILIDAD URBANA</t>
  </si>
  <si>
    <t>CODIGO PRESUPUESTAL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</si>
  <si>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</si>
  <si>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</si>
  <si>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</si>
  <si>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</si>
  <si>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</si>
  <si>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</si>
  <si>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</si>
  <si>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</si>
  <si>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</si>
  <si>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</si>
  <si>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</si>
  <si>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</si>
  <si>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</si>
  <si>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</si>
  <si>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</si>
  <si>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</si>
  <si>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</si>
  <si>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</si>
  <si>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</si>
  <si>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</si>
  <si>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</si>
  <si>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</si>
  <si>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</si>
  <si>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</si>
  <si>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</si>
  <si>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</si>
  <si>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</si>
  <si>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</si>
  <si>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</si>
  <si>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</si>
  <si>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</si>
  <si>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</si>
  <si>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</si>
  <si>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</si>
  <si>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</si>
  <si>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</si>
  <si>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</si>
  <si>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</si>
  <si>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</si>
  <si>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</si>
  <si>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</si>
  <si>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</si>
  <si>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</si>
  <si>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</si>
  <si>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</si>
  <si>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</si>
  <si>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</si>
  <si>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</si>
  <si>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</si>
  <si>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</si>
  <si>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</si>
  <si>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</si>
  <si>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</si>
  <si>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</si>
  <si>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</si>
  <si>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</si>
  <si>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</si>
  <si>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</si>
  <si>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</si>
  <si>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PLAN DE MOVILIDAD URBANA SOSTENIBLE</t>
  </si>
  <si>
    <t>TOTAL GASTOS DE INVERSION</t>
  </si>
  <si>
    <t>TOTAL PRESUPUESTO 2017</t>
  </si>
  <si>
    <t>PPTO 2017</t>
  </si>
  <si>
    <t>PLAN DE MANEJO AMBIENTAL</t>
  </si>
  <si>
    <t>CODIGO PPTAL</t>
  </si>
  <si>
    <t>DETALLE</t>
  </si>
  <si>
    <t>1.1.1</t>
  </si>
  <si>
    <t>IMP. SOBRE VEHICULOS AUTOMOTORES</t>
  </si>
  <si>
    <t>1.2.1</t>
  </si>
  <si>
    <t>MULTAS</t>
  </si>
  <si>
    <t>1.2.2</t>
  </si>
  <si>
    <t>LICENCIA DE CONDUCION</t>
  </si>
  <si>
    <t>1.2.3</t>
  </si>
  <si>
    <t>PERMISOS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</si>
  <si>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</si>
  <si>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</si>
  <si>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</si>
  <si>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</si>
  <si>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</si>
  <si>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</si>
  <si>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</si>
  <si>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</si>
  <si>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</si>
  <si>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</si>
  <si>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</si>
  <si>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</si>
  <si>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</si>
  <si>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</si>
  <si>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</si>
  <si>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</si>
  <si>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</si>
  <si>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</si>
  <si>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</si>
  <si>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</si>
  <si>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</si>
  <si>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</si>
  <si>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</si>
  <si>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</si>
  <si>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</si>
  <si>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</si>
  <si>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</si>
  <si>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</si>
  <si>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</si>
  <si>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</si>
  <si>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</si>
  <si>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</si>
  <si>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</si>
  <si>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</si>
  <si>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</si>
  <si>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</si>
  <si>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</si>
  <si>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</si>
  <si>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</si>
  <si>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</si>
  <si>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</si>
  <si>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</si>
  <si>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</si>
  <si>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</si>
  <si>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</si>
  <si>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</si>
  <si>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</si>
  <si>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</si>
  <si>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</si>
  <si>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</si>
  <si>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</si>
  <si>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</si>
  <si>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</si>
  <si>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</si>
  <si>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</si>
  <si>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</si>
  <si>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</si>
  <si>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</si>
  <si>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</si>
  <si>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</si>
  <si>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</si>
  <si>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</si>
  <si>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</si>
  <si>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</si>
  <si>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</si>
  <si>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</si>
  <si>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</si>
  <si>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</si>
  <si>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</si>
  <si>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F.U.N.</t>
  </si>
  <si>
    <t>REGISTROS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</si>
  <si>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</si>
  <si>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</si>
  <si>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</si>
  <si>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</si>
  <si>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</si>
  <si>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</si>
  <si>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</si>
  <si>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</si>
  <si>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2.3.4</t>
  </si>
  <si>
    <t>Recuperacion cartera porte de placas</t>
  </si>
  <si>
    <t>Recuperacion cartera Sistematizacion y Facturacion</t>
  </si>
  <si>
    <t>TOTAL INGRESOS CAPITAL DE LA I.T.T.B</t>
  </si>
  <si>
    <t xml:space="preserve"> PPTO 2017</t>
  </si>
  <si>
    <t>1.2.36</t>
  </si>
  <si>
    <t>1.2.37</t>
  </si>
  <si>
    <t>TOTAL PRESUPUESTO INGRESOS 2017</t>
  </si>
  <si>
    <t>ADICION</t>
  </si>
  <si>
    <t>COMPROMETIDO ENERO</t>
  </si>
  <si>
    <t>COMPROMETIDO FEBRERO</t>
  </si>
  <si>
    <t xml:space="preserve"> PRESUPUESTO 
AJUSTADO 2017</t>
  </si>
  <si>
    <t>COMPROMETIDO MARZO</t>
  </si>
  <si>
    <t>COMPROMETIDO ABRIL</t>
  </si>
  <si>
    <t>COMPROMETIDO MAYO</t>
  </si>
  <si>
    <t>NA</t>
  </si>
  <si>
    <t>INGRESOS NO DETERMINADOS EN EL SISTEMA</t>
  </si>
  <si>
    <t>RECAUDO ENERO</t>
  </si>
  <si>
    <t>RECUADO FEBRERO</t>
  </si>
  <si>
    <t>RECAUDO MARZO</t>
  </si>
  <si>
    <t>RECAUDO ABRIL</t>
  </si>
  <si>
    <t>RECAUDO MAYO</t>
  </si>
  <si>
    <t>RECAUDO JUNIO</t>
  </si>
  <si>
    <t>COMPROMETIDO JUNIO</t>
  </si>
  <si>
    <t>COMPROMETIDO JULIO</t>
  </si>
  <si>
    <t>RECAUDO JULIO</t>
  </si>
  <si>
    <t>TRASLADOS PRESUPUETALES</t>
  </si>
  <si>
    <t>CREDITOS</t>
  </si>
  <si>
    <t>CONTRACREDITOS</t>
  </si>
  <si>
    <t>COMPROMETIDO AGOSTO</t>
  </si>
  <si>
    <t>PERSONAL TEMPORAL Y SUPERNUMERARIO</t>
  </si>
  <si>
    <t>RECAUDO AGOSTO</t>
  </si>
  <si>
    <t>COMPROMETIDO SEPTIEMBRE</t>
  </si>
  <si>
    <t>COMPROMETIDO ENERO A SEPTIEMBRE</t>
  </si>
  <si>
    <t>RECAUDO SEPTIEMBRE</t>
  </si>
  <si>
    <t>RECAUDO ENERO A SEPTIEMBRE</t>
  </si>
  <si>
    <t>RECAUDO ENERO 2017</t>
  </si>
  <si>
    <t>ENERO 2017
COTES</t>
  </si>
  <si>
    <t>RECAUDO FEBRERO 2017</t>
  </si>
  <si>
    <t>FEBRERO 2017
COTES</t>
  </si>
  <si>
    <t>RECAUDO MARZO 2017</t>
  </si>
  <si>
    <t>MARZO 2017
COTES</t>
  </si>
  <si>
    <t>RECAUDO ABRIL 2017</t>
  </si>
  <si>
    <t>ABRIL 2017
COTES</t>
  </si>
  <si>
    <t>RECAUDO MAYO 2017</t>
  </si>
  <si>
    <t>MAYO 2017
COTES</t>
  </si>
  <si>
    <t>RECAUDO JUNIO 2017</t>
  </si>
  <si>
    <t>JUNIO 2017
COTES</t>
  </si>
  <si>
    <t>RECAUDO JULIO 2017</t>
  </si>
  <si>
    <t>JULIO 2017
COTES</t>
  </si>
  <si>
    <t>RECAUDO AGOSTO 2017</t>
  </si>
  <si>
    <t>AGOSTO 2017
COTES</t>
  </si>
  <si>
    <t>RECAUDO SEPTIEMBRE 2017</t>
  </si>
  <si>
    <t>SEPTIEMBRE 2017 COTES</t>
  </si>
  <si>
    <t>RECAUDO ENERO A SEPTIEMBRE 2017</t>
  </si>
  <si>
    <t>RECAUDO ENERO A SEPTIEMBRE COTES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</si>
</sst>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0"/>
      <name val="Arial Black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0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haroni"/>
      <charset val="177"/>
    </font>
    <font>
      <b/>
      <sz val="14"/>
      <color theme="1"/>
      <name val="Arial Black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name val="Bernard MT Condensed"/>
      <family val="1"/>
    </font>
    <font>
      <sz val="8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Font="1" applyBorder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/>
    <xf numFmtId="0" fontId="8" fillId="0" borderId="1" xfId="0" applyFont="1" applyBorder="1"/>
    <xf numFmtId="164" fontId="7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43" fontId="0" fillId="0" borderId="1" xfId="1" applyFont="1" applyBorder="1"/>
    <xf numFmtId="164" fontId="9" fillId="0" borderId="1" xfId="0" applyNumberFormat="1" applyFont="1" applyBorder="1"/>
    <xf numFmtId="0" fontId="11" fillId="0" borderId="1" xfId="0" applyFont="1" applyBorder="1"/>
    <xf numFmtId="164" fontId="12" fillId="0" borderId="1" xfId="0" applyNumberFormat="1" applyFont="1" applyBorder="1"/>
    <xf numFmtId="164" fontId="0" fillId="0" borderId="0" xfId="0" applyNumberFormat="1"/>
    <xf numFmtId="43" fontId="0" fillId="0" borderId="0" xfId="0" applyNumberFormat="1"/>
    <xf numFmtId="4" fontId="0" fillId="2" borderId="1" xfId="0" applyNumberFormat="1" applyFill="1" applyBorder="1"/>
    <xf numFmtId="43" fontId="7" fillId="0" borderId="1" xfId="1" applyFont="1" applyBorder="1"/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5" fillId="0" borderId="0" xfId="0" applyFont="1"/>
    <xf numFmtId="0" fontId="15" fillId="3" borderId="1" xfId="0" applyFont="1" applyFill="1" applyBorder="1"/>
    <xf numFmtId="0" fontId="14" fillId="3" borderId="1" xfId="0" applyFont="1" applyFill="1" applyBorder="1" applyAlignment="1">
      <alignment horizontal="left"/>
    </xf>
    <xf numFmtId="43" fontId="15" fillId="0" borderId="0" xfId="0" applyNumberFormat="1" applyFont="1"/>
    <xf numFmtId="164" fontId="15" fillId="0" borderId="0" xfId="1" applyNumberFormat="1" applyFont="1"/>
    <xf numFmtId="4" fontId="15" fillId="0" borderId="0" xfId="0" applyNumberFormat="1" applyFont="1"/>
    <xf numFmtId="164" fontId="15" fillId="0" borderId="0" xfId="0" applyNumberFormat="1" applyFont="1"/>
    <xf numFmtId="164" fontId="16" fillId="0" borderId="1" xfId="1" applyNumberFormat="1" applyFont="1" applyBorder="1"/>
    <xf numFmtId="164" fontId="15" fillId="0" borderId="1" xfId="1" applyNumberFormat="1" applyFont="1" applyBorder="1"/>
    <xf numFmtId="164" fontId="16" fillId="4" borderId="1" xfId="1" applyNumberFormat="1" applyFont="1" applyFill="1" applyBorder="1"/>
    <xf numFmtId="164" fontId="18" fillId="5" borderId="1" xfId="1" applyNumberFormat="1" applyFont="1" applyFill="1" applyBorder="1"/>
    <xf numFmtId="43" fontId="15" fillId="0" borderId="0" xfId="1" applyFont="1"/>
    <xf numFmtId="4" fontId="19" fillId="0" borderId="1" xfId="0" applyNumberFormat="1" applyFont="1" applyBorder="1"/>
    <xf numFmtId="4" fontId="20" fillId="0" borderId="1" xfId="0" applyNumberFormat="1" applyFont="1" applyBorder="1"/>
    <xf numFmtId="164" fontId="15" fillId="2" borderId="1" xfId="1" applyNumberFormat="1" applyFont="1" applyFill="1" applyBorder="1"/>
    <xf numFmtId="0" fontId="15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43" fontId="7" fillId="2" borderId="1" xfId="1" applyFont="1" applyFill="1" applyBorder="1"/>
    <xf numFmtId="164" fontId="15" fillId="7" borderId="1" xfId="1" applyNumberFormat="1" applyFont="1" applyFill="1" applyBorder="1"/>
    <xf numFmtId="164" fontId="15" fillId="0" borderId="1" xfId="1" applyNumberFormat="1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1.%20Enero%202017\cuadre%20por%20cuentas%2020170101%20al%20201701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2.%20Febrero%202017\cuadre%20por%20cuentas%20Febre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3.%20Marzo%202017\cuadre%20por%20cuentas%2020170301%20al%20201703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4.%20Abril%202017\cuadre%20por%20cuentas%2020170401%20al%2020170430%20Mayo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5.%20Mayo%202017\cuadre%20por%20cuentas%2020170501%20al%20201705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6.%20Junio%202017\cuadre%20por%20cuentas%2020170601%20al%2020170630%20UN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7.%20Julio%202017\cuadre%20por%20cuentas%2020170701%20al%202017073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8.%20Agosto\cuadre%20por%20cuentas%2020170801%20al%2020170831%20Viej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0.%20IITTTT%20-%20MOVILIDAD\05.%20Cobro%20Coactivo\Lida\POR%20CUENTAS\2017\09.%20Septiembre\cuadre%20por%20cuentas%2020170901%20al%20201709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101 al "/>
    </sheetNames>
    <sheetDataSet>
      <sheetData sheetId="0">
        <row r="109">
          <cell r="D109">
            <v>923412</v>
          </cell>
        </row>
        <row r="111">
          <cell r="D111">
            <v>76257</v>
          </cell>
        </row>
        <row r="113">
          <cell r="D113">
            <v>78685180</v>
          </cell>
        </row>
        <row r="116">
          <cell r="D116">
            <v>1143372</v>
          </cell>
        </row>
        <row r="117">
          <cell r="D117">
            <v>34191551</v>
          </cell>
        </row>
        <row r="121">
          <cell r="D121">
            <v>1505636</v>
          </cell>
        </row>
        <row r="123">
          <cell r="D123">
            <v>1998832</v>
          </cell>
        </row>
        <row r="124">
          <cell r="D124">
            <v>5136620</v>
          </cell>
        </row>
        <row r="126">
          <cell r="D126">
            <v>4750549</v>
          </cell>
        </row>
        <row r="132">
          <cell r="D132">
            <v>158380</v>
          </cell>
        </row>
        <row r="133">
          <cell r="D133">
            <v>2189046</v>
          </cell>
        </row>
        <row r="134">
          <cell r="D134">
            <v>456007</v>
          </cell>
        </row>
        <row r="135">
          <cell r="D135">
            <v>8922448</v>
          </cell>
        </row>
        <row r="136">
          <cell r="D136">
            <v>65545371</v>
          </cell>
        </row>
        <row r="137">
          <cell r="D137">
            <v>43328211</v>
          </cell>
        </row>
        <row r="138">
          <cell r="D138">
            <v>45430454</v>
          </cell>
        </row>
        <row r="139">
          <cell r="D139">
            <v>27327964</v>
          </cell>
        </row>
        <row r="141">
          <cell r="D141">
            <v>21562</v>
          </cell>
        </row>
        <row r="142">
          <cell r="D142">
            <v>1157628</v>
          </cell>
        </row>
        <row r="144">
          <cell r="D144">
            <v>3404112</v>
          </cell>
        </row>
        <row r="145">
          <cell r="D145">
            <v>0</v>
          </cell>
        </row>
        <row r="149">
          <cell r="D149">
            <v>3874514</v>
          </cell>
        </row>
        <row r="150">
          <cell r="D150">
            <v>16918630</v>
          </cell>
        </row>
        <row r="152">
          <cell r="D152">
            <v>229348</v>
          </cell>
        </row>
        <row r="155">
          <cell r="D155">
            <v>80717893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201 al "/>
    </sheetNames>
    <sheetDataSet>
      <sheetData sheetId="0">
        <row r="103">
          <cell r="D103">
            <v>726840</v>
          </cell>
        </row>
        <row r="105">
          <cell r="D105">
            <v>80642</v>
          </cell>
        </row>
        <row r="107">
          <cell r="D107">
            <v>84480991</v>
          </cell>
        </row>
        <row r="110">
          <cell r="D110">
            <v>1114419</v>
          </cell>
        </row>
        <row r="111">
          <cell r="D111">
            <v>41279531</v>
          </cell>
        </row>
        <row r="114">
          <cell r="D114">
            <v>1211410</v>
          </cell>
        </row>
        <row r="116">
          <cell r="D116">
            <v>1378527</v>
          </cell>
        </row>
        <row r="117">
          <cell r="D117">
            <v>7563611</v>
          </cell>
        </row>
        <row r="119">
          <cell r="D119">
            <v>5984824</v>
          </cell>
        </row>
        <row r="126">
          <cell r="D126">
            <v>1674495</v>
          </cell>
        </row>
        <row r="127">
          <cell r="D127">
            <v>330192</v>
          </cell>
        </row>
        <row r="128">
          <cell r="D128">
            <v>11606355</v>
          </cell>
        </row>
        <row r="129">
          <cell r="D129">
            <v>72648514</v>
          </cell>
        </row>
        <row r="130">
          <cell r="D130">
            <v>43016622</v>
          </cell>
        </row>
        <row r="131">
          <cell r="D131">
            <v>58676605</v>
          </cell>
        </row>
        <row r="132">
          <cell r="D132">
            <v>34861389</v>
          </cell>
        </row>
        <row r="134">
          <cell r="D134">
            <v>911160</v>
          </cell>
        </row>
        <row r="136">
          <cell r="D136">
            <v>4791760</v>
          </cell>
        </row>
        <row r="137">
          <cell r="D137">
            <v>16372</v>
          </cell>
        </row>
        <row r="141">
          <cell r="D141">
            <v>8474616</v>
          </cell>
        </row>
        <row r="142">
          <cell r="D142">
            <v>16040634</v>
          </cell>
        </row>
        <row r="144">
          <cell r="D144">
            <v>456257</v>
          </cell>
        </row>
        <row r="148">
          <cell r="D148">
            <v>104650152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301 al "/>
    </sheetNames>
    <sheetDataSet>
      <sheetData sheetId="0">
        <row r="103">
          <cell r="D103">
            <v>759144</v>
          </cell>
        </row>
        <row r="105">
          <cell r="D105">
            <v>0</v>
          </cell>
        </row>
        <row r="107">
          <cell r="D107">
            <v>91208960</v>
          </cell>
        </row>
        <row r="110">
          <cell r="D110">
            <v>1259782</v>
          </cell>
        </row>
        <row r="111">
          <cell r="D111">
            <v>41958241</v>
          </cell>
        </row>
        <row r="115">
          <cell r="D115">
            <v>1237745</v>
          </cell>
        </row>
        <row r="117">
          <cell r="D117">
            <v>2850703</v>
          </cell>
        </row>
        <row r="118">
          <cell r="D118">
            <v>11198564</v>
          </cell>
        </row>
        <row r="120">
          <cell r="D120">
            <v>7856853</v>
          </cell>
        </row>
        <row r="126">
          <cell r="D126">
            <v>163720</v>
          </cell>
        </row>
        <row r="127">
          <cell r="D127">
            <v>6363081</v>
          </cell>
        </row>
        <row r="128">
          <cell r="D128">
            <v>715416</v>
          </cell>
        </row>
        <row r="129">
          <cell r="D129">
            <v>26530753</v>
          </cell>
        </row>
        <row r="130">
          <cell r="D130">
            <v>98077252</v>
          </cell>
        </row>
        <row r="131">
          <cell r="D131">
            <v>63089237</v>
          </cell>
        </row>
        <row r="132">
          <cell r="D132">
            <v>131515666</v>
          </cell>
        </row>
        <row r="133">
          <cell r="D133">
            <v>79292369</v>
          </cell>
        </row>
        <row r="135">
          <cell r="D135">
            <v>85211</v>
          </cell>
        </row>
        <row r="136">
          <cell r="D136">
            <v>951656</v>
          </cell>
        </row>
        <row r="138">
          <cell r="D138">
            <v>9960400</v>
          </cell>
        </row>
        <row r="143">
          <cell r="D143">
            <v>4924935</v>
          </cell>
        </row>
        <row r="144">
          <cell r="D144">
            <v>17365464</v>
          </cell>
        </row>
        <row r="146">
          <cell r="D146">
            <v>1286011</v>
          </cell>
        </row>
        <row r="150">
          <cell r="D150">
            <v>103976015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401 al "/>
    </sheetNames>
    <sheetDataSet>
      <sheetData sheetId="0" refreshError="1">
        <row r="103">
          <cell r="D103">
            <v>662232</v>
          </cell>
        </row>
        <row r="105">
          <cell r="D105">
            <v>80642</v>
          </cell>
        </row>
        <row r="107">
          <cell r="D107">
            <v>86613097</v>
          </cell>
        </row>
        <row r="110">
          <cell r="D110">
            <v>839904</v>
          </cell>
        </row>
        <row r="111">
          <cell r="D111">
            <v>28002071</v>
          </cell>
        </row>
        <row r="115">
          <cell r="D115">
            <v>1079735</v>
          </cell>
        </row>
        <row r="117">
          <cell r="D117">
            <v>1363543</v>
          </cell>
        </row>
        <row r="118">
          <cell r="D118">
            <v>8175667</v>
          </cell>
        </row>
        <row r="120">
          <cell r="D120">
            <v>6285424</v>
          </cell>
        </row>
        <row r="127">
          <cell r="D127">
            <v>4800219</v>
          </cell>
        </row>
        <row r="128">
          <cell r="D128">
            <v>348536</v>
          </cell>
        </row>
        <row r="129">
          <cell r="D129">
            <v>27440896</v>
          </cell>
        </row>
        <row r="130">
          <cell r="D130">
            <v>68372059</v>
          </cell>
        </row>
        <row r="131">
          <cell r="D131">
            <v>39472332</v>
          </cell>
        </row>
        <row r="132">
          <cell r="D132">
            <v>129772549</v>
          </cell>
        </row>
        <row r="133">
          <cell r="D133">
            <v>75945247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9852720</v>
          </cell>
        </row>
        <row r="139">
          <cell r="D139">
            <v>16372</v>
          </cell>
        </row>
        <row r="143">
          <cell r="D143">
            <v>1228482</v>
          </cell>
        </row>
        <row r="144">
          <cell r="D144">
            <v>14613894</v>
          </cell>
        </row>
        <row r="146">
          <cell r="D146">
            <v>790527</v>
          </cell>
        </row>
        <row r="151">
          <cell r="D151">
            <v>77347551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501 al "/>
    </sheetNames>
    <sheetDataSet>
      <sheetData sheetId="0" refreshError="1">
        <row r="103">
          <cell r="D103">
            <v>662232</v>
          </cell>
        </row>
        <row r="107">
          <cell r="D107">
            <v>78949809</v>
          </cell>
        </row>
        <row r="110">
          <cell r="D110">
            <v>1001424</v>
          </cell>
        </row>
        <row r="111">
          <cell r="D111">
            <v>32378934</v>
          </cell>
        </row>
        <row r="115">
          <cell r="D115">
            <v>1079735</v>
          </cell>
        </row>
        <row r="117">
          <cell r="D117">
            <v>1947920</v>
          </cell>
        </row>
        <row r="118">
          <cell r="D118">
            <v>6883478</v>
          </cell>
        </row>
        <row r="120">
          <cell r="D120">
            <v>5940423</v>
          </cell>
        </row>
        <row r="127">
          <cell r="D127">
            <v>1748917</v>
          </cell>
        </row>
        <row r="128">
          <cell r="D128">
            <v>495288</v>
          </cell>
        </row>
        <row r="129">
          <cell r="D129">
            <v>28363594</v>
          </cell>
        </row>
        <row r="130">
          <cell r="D130">
            <v>68428433</v>
          </cell>
        </row>
        <row r="131">
          <cell r="D131">
            <v>40400488</v>
          </cell>
        </row>
        <row r="132">
          <cell r="D132">
            <v>102501266</v>
          </cell>
        </row>
        <row r="133">
          <cell r="D133">
            <v>68968892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5545520</v>
          </cell>
        </row>
        <row r="139">
          <cell r="D139">
            <v>16372</v>
          </cell>
        </row>
        <row r="143">
          <cell r="D143">
            <v>4234617</v>
          </cell>
        </row>
        <row r="144">
          <cell r="D144">
            <v>19138698</v>
          </cell>
        </row>
        <row r="146">
          <cell r="D146">
            <v>1887193</v>
          </cell>
        </row>
        <row r="151">
          <cell r="D151">
            <v>89063264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601 al "/>
    </sheetNames>
    <sheetDataSet>
      <sheetData sheetId="0" refreshError="1">
        <row r="103">
          <cell r="D103">
            <v>791448</v>
          </cell>
        </row>
        <row r="104">
          <cell r="D104">
            <v>4571694</v>
          </cell>
        </row>
        <row r="105">
          <cell r="D105">
            <v>0</v>
          </cell>
        </row>
        <row r="107">
          <cell r="D107">
            <v>52797229</v>
          </cell>
        </row>
        <row r="109">
          <cell r="D109">
            <v>52948</v>
          </cell>
        </row>
        <row r="110">
          <cell r="D110">
            <v>1276008</v>
          </cell>
        </row>
        <row r="111">
          <cell r="D111">
            <v>28047477</v>
          </cell>
        </row>
        <row r="112">
          <cell r="D112">
            <v>219456</v>
          </cell>
        </row>
        <row r="115">
          <cell r="D115">
            <v>1290415</v>
          </cell>
        </row>
        <row r="116">
          <cell r="D116">
            <v>2458</v>
          </cell>
        </row>
        <row r="117">
          <cell r="D117">
            <v>1510186</v>
          </cell>
        </row>
        <row r="118">
          <cell r="D118">
            <v>5061103</v>
          </cell>
        </row>
        <row r="120">
          <cell r="D120">
            <v>4342230</v>
          </cell>
        </row>
        <row r="121">
          <cell r="D121">
            <v>474033</v>
          </cell>
        </row>
        <row r="126">
          <cell r="D126">
            <v>130976</v>
          </cell>
        </row>
        <row r="127">
          <cell r="D127">
            <v>1153541</v>
          </cell>
        </row>
        <row r="128">
          <cell r="D128">
            <v>421912</v>
          </cell>
        </row>
        <row r="129">
          <cell r="D129">
            <v>14657945</v>
          </cell>
        </row>
        <row r="130">
          <cell r="D130">
            <v>64763607</v>
          </cell>
        </row>
        <row r="131">
          <cell r="D131">
            <v>42685938</v>
          </cell>
        </row>
        <row r="132">
          <cell r="D132">
            <v>34823042</v>
          </cell>
        </row>
        <row r="133">
          <cell r="D133">
            <v>30350033</v>
          </cell>
        </row>
        <row r="134">
          <cell r="D134">
            <v>905650</v>
          </cell>
        </row>
        <row r="135">
          <cell r="D135">
            <v>36519</v>
          </cell>
        </row>
        <row r="136">
          <cell r="D136">
            <v>994610</v>
          </cell>
        </row>
        <row r="138">
          <cell r="D138">
            <v>7349160</v>
          </cell>
        </row>
        <row r="139">
          <cell r="D139">
            <v>0</v>
          </cell>
        </row>
        <row r="141">
          <cell r="D141">
            <v>40658491</v>
          </cell>
        </row>
        <row r="143">
          <cell r="D143">
            <v>12258153</v>
          </cell>
        </row>
        <row r="144">
          <cell r="D144">
            <v>13350210</v>
          </cell>
        </row>
        <row r="145">
          <cell r="D145">
            <v>30626068</v>
          </cell>
        </row>
        <row r="146">
          <cell r="D146">
            <v>734273</v>
          </cell>
        </row>
        <row r="147">
          <cell r="D147">
            <v>112031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701 al "/>
    </sheetNames>
    <sheetDataSet>
      <sheetData sheetId="0" refreshError="1">
        <row r="119">
          <cell r="D119">
            <v>565320</v>
          </cell>
        </row>
        <row r="120">
          <cell r="D120">
            <v>4596273</v>
          </cell>
        </row>
        <row r="123">
          <cell r="D123">
            <v>63102350</v>
          </cell>
        </row>
        <row r="125">
          <cell r="D125">
            <v>76815</v>
          </cell>
        </row>
        <row r="126">
          <cell r="D126">
            <v>985272</v>
          </cell>
        </row>
        <row r="127">
          <cell r="D127">
            <v>21919895</v>
          </cell>
        </row>
        <row r="128">
          <cell r="D128">
            <v>292608</v>
          </cell>
        </row>
        <row r="131">
          <cell r="D131">
            <v>921725</v>
          </cell>
        </row>
        <row r="133">
          <cell r="D133">
            <v>1457194</v>
          </cell>
        </row>
        <row r="134">
          <cell r="D134">
            <v>4011185</v>
          </cell>
        </row>
        <row r="136">
          <cell r="D136">
            <v>2999420</v>
          </cell>
        </row>
        <row r="137">
          <cell r="D137">
            <v>926018</v>
          </cell>
        </row>
        <row r="142">
          <cell r="D142">
            <v>49116</v>
          </cell>
        </row>
        <row r="143">
          <cell r="D143">
            <v>1600073</v>
          </cell>
        </row>
        <row r="144">
          <cell r="D144">
            <v>440256</v>
          </cell>
        </row>
        <row r="145">
          <cell r="D145">
            <v>16118009</v>
          </cell>
        </row>
        <row r="146">
          <cell r="D146">
            <v>68952501</v>
          </cell>
        </row>
        <row r="147">
          <cell r="D147">
            <v>38748361</v>
          </cell>
        </row>
        <row r="148">
          <cell r="D148">
            <v>36985677</v>
          </cell>
        </row>
        <row r="149">
          <cell r="D149">
            <v>32166646</v>
          </cell>
        </row>
        <row r="150">
          <cell r="D150">
            <v>1093832</v>
          </cell>
        </row>
        <row r="151">
          <cell r="D151">
            <v>24346</v>
          </cell>
        </row>
        <row r="152">
          <cell r="D152">
            <v>708680</v>
          </cell>
        </row>
        <row r="154">
          <cell r="D154">
            <v>9448920</v>
          </cell>
        </row>
        <row r="157">
          <cell r="D157">
            <v>36114921</v>
          </cell>
        </row>
        <row r="159">
          <cell r="D159">
            <v>6876513</v>
          </cell>
        </row>
        <row r="160">
          <cell r="D160">
            <v>12983334</v>
          </cell>
        </row>
        <row r="161">
          <cell r="D161">
            <v>33500683</v>
          </cell>
        </row>
        <row r="162">
          <cell r="D162">
            <v>1207553</v>
          </cell>
        </row>
        <row r="163">
          <cell r="D163">
            <v>35372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801 al "/>
    </sheetNames>
    <sheetDataSet>
      <sheetData sheetId="0" refreshError="1">
        <row r="120">
          <cell r="H120">
            <v>678384</v>
          </cell>
        </row>
        <row r="124">
          <cell r="H124">
            <v>98999275</v>
          </cell>
        </row>
        <row r="127">
          <cell r="H127">
            <v>1001424</v>
          </cell>
        </row>
        <row r="128">
          <cell r="H128">
            <v>20155923</v>
          </cell>
        </row>
        <row r="132">
          <cell r="H132">
            <v>1106070</v>
          </cell>
        </row>
        <row r="134">
          <cell r="H134">
            <v>2887471</v>
          </cell>
        </row>
        <row r="135">
          <cell r="H135">
            <v>6331301</v>
          </cell>
        </row>
        <row r="137">
          <cell r="H137">
            <v>3998383</v>
          </cell>
        </row>
        <row r="144">
          <cell r="H144">
            <v>1227963</v>
          </cell>
        </row>
        <row r="145">
          <cell r="H145">
            <v>642040</v>
          </cell>
        </row>
        <row r="152">
          <cell r="H152">
            <v>12173</v>
          </cell>
        </row>
        <row r="153">
          <cell r="H153">
            <v>850416</v>
          </cell>
        </row>
        <row r="155">
          <cell r="H155">
            <v>8560560</v>
          </cell>
        </row>
        <row r="156">
          <cell r="H156">
            <v>65488</v>
          </cell>
        </row>
        <row r="160">
          <cell r="H160">
            <v>1299177</v>
          </cell>
        </row>
        <row r="161">
          <cell r="H161">
            <v>12759132</v>
          </cell>
        </row>
        <row r="163">
          <cell r="H163">
            <v>1052411</v>
          </cell>
        </row>
        <row r="168">
          <cell r="H168">
            <v>88095434</v>
          </cell>
        </row>
        <row r="183">
          <cell r="H183">
            <v>77299343</v>
          </cell>
        </row>
        <row r="184">
          <cell r="H184">
            <v>43372641</v>
          </cell>
        </row>
        <row r="185">
          <cell r="H185">
            <v>43309424</v>
          </cell>
        </row>
        <row r="186">
          <cell r="H186">
            <v>22735984</v>
          </cell>
        </row>
        <row r="187">
          <cell r="H187">
            <v>52300393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e por cuentas 20170901 al "/>
    </sheetNames>
    <sheetDataSet>
      <sheetData sheetId="0" refreshError="1">
        <row r="120">
          <cell r="D120">
            <v>1082184</v>
          </cell>
        </row>
        <row r="122">
          <cell r="D122">
            <v>0</v>
          </cell>
        </row>
        <row r="124">
          <cell r="D124">
            <v>103100593</v>
          </cell>
        </row>
        <row r="127">
          <cell r="D127">
            <v>1453680</v>
          </cell>
        </row>
        <row r="128">
          <cell r="D128">
            <v>19304788</v>
          </cell>
        </row>
        <row r="132">
          <cell r="D132">
            <v>1764445</v>
          </cell>
        </row>
        <row r="134">
          <cell r="D134">
            <v>3978252</v>
          </cell>
        </row>
        <row r="135">
          <cell r="D135">
            <v>8094786</v>
          </cell>
        </row>
        <row r="137">
          <cell r="D137">
            <v>6163584</v>
          </cell>
        </row>
        <row r="144">
          <cell r="D144">
            <v>3311779</v>
          </cell>
        </row>
        <row r="145">
          <cell r="D145">
            <v>587008</v>
          </cell>
        </row>
        <row r="152">
          <cell r="D152">
            <v>36519</v>
          </cell>
        </row>
        <row r="153">
          <cell r="D153">
            <v>1356616</v>
          </cell>
        </row>
        <row r="155">
          <cell r="D155">
            <v>8129840</v>
          </cell>
        </row>
        <row r="156">
          <cell r="D156">
            <v>16372</v>
          </cell>
        </row>
        <row r="160">
          <cell r="D160">
            <v>592470</v>
          </cell>
        </row>
        <row r="161">
          <cell r="D161">
            <v>11964234</v>
          </cell>
        </row>
        <row r="163">
          <cell r="D163">
            <v>1607556</v>
          </cell>
        </row>
        <row r="168">
          <cell r="D168">
            <v>79192544</v>
          </cell>
        </row>
        <row r="183">
          <cell r="D183">
            <v>85453785</v>
          </cell>
        </row>
        <row r="184">
          <cell r="D184">
            <v>52829445</v>
          </cell>
        </row>
        <row r="185">
          <cell r="D185">
            <v>47710547</v>
          </cell>
        </row>
        <row r="186">
          <cell r="D186">
            <v>27347857</v>
          </cell>
        </row>
        <row r="187">
          <cell r="D187">
            <v>56644992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N49"/>
  <sheetViews>
    <sheetView workbookViewId="0">
      <selection activeCell="E11" sqref="E11"/>
    </sheetView>
  </sheetViews>
  <sheetFormatPr baseColWidth="10" defaultRowHeight="15"/>
  <cols>
    <col min="1" max="1" width="54.7109375" customWidth="1"/>
    <col min="2" max="2" width="37.85546875" customWidth="1"/>
    <col min="3" max="3" width="21.140625" customWidth="1"/>
    <col min="4" max="4" width="0" hidden="1" customWidth="1"/>
    <col min="5" max="5" width="12" bestFit="1" customWidth="1"/>
  </cols>
  <sheetData>
    <row r="3" spans="1:3" ht="18.75">
      <c r="A3" s="63" t="s">
        <v>0</v>
      </c>
      <c r="B3" s="63"/>
    </row>
    <row r="4" spans="1:3" ht="18.75">
      <c r="A4" s="63" t="s">
        <v>13</v>
      </c>
      <c r="B4" s="63"/>
    </row>
    <row r="5" spans="1:3" ht="20.25">
      <c r="A5" s="57"/>
      <c r="B5" s="56">
        <v>2017</v>
      </c>
      <c r="C5" s="56">
        <v>2018</v>
      </c>
    </row>
    <row r="6" spans="1:3" ht="15.75">
      <c r="A6" s="1" t="s">
        <v>1</v>
      </c>
      <c r="B6" s="2">
        <v>9230000000</v>
      </c>
      <c r="C6" s="2">
        <f>C7+C8</f>
        <v>9300000000</v>
      </c>
    </row>
    <row r="7" spans="1:3">
      <c r="A7" s="3" t="s">
        <v>2</v>
      </c>
      <c r="B7" s="4">
        <v>1430000000</v>
      </c>
      <c r="C7" s="4">
        <v>1500000000</v>
      </c>
    </row>
    <row r="8" spans="1:3">
      <c r="A8" s="3" t="s">
        <v>3</v>
      </c>
      <c r="B8" s="4">
        <v>7800000000</v>
      </c>
      <c r="C8" s="4">
        <v>7800000000</v>
      </c>
    </row>
    <row r="9" spans="1:3" ht="15.75">
      <c r="A9" s="1" t="s">
        <v>4</v>
      </c>
      <c r="B9" s="2">
        <f>B11+B12+B13+B14</f>
        <v>3023000000</v>
      </c>
      <c r="C9" s="2">
        <f>C11+C12+C13+C14</f>
        <v>3223000000</v>
      </c>
    </row>
    <row r="10" spans="1:3">
      <c r="A10" s="58" t="s">
        <v>5</v>
      </c>
      <c r="B10" s="4"/>
    </row>
    <row r="11" spans="1:3">
      <c r="A11" s="5" t="s">
        <v>6</v>
      </c>
      <c r="B11" s="4">
        <v>10000000</v>
      </c>
      <c r="C11" s="4">
        <v>10000000</v>
      </c>
    </row>
    <row r="12" spans="1:3">
      <c r="A12" s="5" t="s">
        <v>7</v>
      </c>
      <c r="B12" s="4">
        <v>3000000000</v>
      </c>
      <c r="C12" s="4">
        <v>3200000000</v>
      </c>
    </row>
    <row r="13" spans="1:3">
      <c r="A13" s="5" t="s">
        <v>8</v>
      </c>
      <c r="B13" s="4">
        <v>12000000</v>
      </c>
      <c r="C13" s="4">
        <v>12000000</v>
      </c>
    </row>
    <row r="14" spans="1:3">
      <c r="A14" s="5" t="s">
        <v>9</v>
      </c>
      <c r="B14" s="4">
        <v>1000000</v>
      </c>
      <c r="C14" s="4">
        <v>1000000</v>
      </c>
    </row>
    <row r="15" spans="1:3" ht="15.75">
      <c r="A15" s="6" t="s">
        <v>19</v>
      </c>
      <c r="B15" s="7">
        <f>B6+B9</f>
        <v>12253000000</v>
      </c>
      <c r="C15" s="7">
        <f>C6+C9</f>
        <v>12523000000</v>
      </c>
    </row>
    <row r="19" spans="1:560" ht="15.75">
      <c r="A19" s="64" t="s">
        <v>0</v>
      </c>
      <c r="B19" s="64"/>
      <c r="C19" s="12"/>
    </row>
    <row r="20" spans="1:560" ht="15.75">
      <c r="A20" s="64" t="s">
        <v>14</v>
      </c>
      <c r="B20" s="64"/>
      <c r="C20" s="12"/>
    </row>
    <row r="21" spans="1:560" ht="18.75">
      <c r="A21" s="8"/>
      <c r="B21" s="56">
        <v>2017</v>
      </c>
      <c r="C21" s="56">
        <v>2018</v>
      </c>
    </row>
    <row r="22" spans="1:560" ht="15.75">
      <c r="A22" s="1" t="s">
        <v>10</v>
      </c>
      <c r="B22" s="9">
        <v>8962000000</v>
      </c>
      <c r="C22" s="9">
        <v>9232000000</v>
      </c>
    </row>
    <row r="23" spans="1:560" ht="15.75">
      <c r="A23" s="10" t="s">
        <v>11</v>
      </c>
      <c r="B23" s="9">
        <v>0</v>
      </c>
      <c r="C23" s="9">
        <v>0</v>
      </c>
    </row>
    <row r="24" spans="1:560" s="1" customFormat="1" ht="15.75">
      <c r="A24" s="1" t="s">
        <v>21</v>
      </c>
      <c r="B24" s="2">
        <v>3291000000</v>
      </c>
      <c r="C24" s="2">
        <v>3291000000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</row>
    <row r="25" spans="1:560" ht="15.75">
      <c r="A25" s="1" t="s">
        <v>18</v>
      </c>
      <c r="B25" s="14"/>
      <c r="C25" s="14"/>
    </row>
    <row r="26" spans="1:560">
      <c r="A26" s="14" t="s">
        <v>20</v>
      </c>
      <c r="B26" s="4">
        <v>400000000</v>
      </c>
      <c r="C26" s="4">
        <v>400000000</v>
      </c>
    </row>
    <row r="27" spans="1:560">
      <c r="A27" s="11" t="s">
        <v>15</v>
      </c>
      <c r="B27" s="4">
        <v>881700000</v>
      </c>
      <c r="C27" s="4">
        <v>881700000</v>
      </c>
    </row>
    <row r="28" spans="1:560">
      <c r="A28" s="11" t="s">
        <v>16</v>
      </c>
      <c r="B28" s="4">
        <v>370000000</v>
      </c>
      <c r="C28" s="4">
        <v>370000000</v>
      </c>
    </row>
    <row r="29" spans="1:560">
      <c r="A29" s="11" t="s">
        <v>12</v>
      </c>
      <c r="B29" s="4">
        <v>1082500000</v>
      </c>
      <c r="C29" s="4">
        <v>1082500000</v>
      </c>
    </row>
    <row r="30" spans="1:560">
      <c r="A30" s="11" t="s">
        <v>17</v>
      </c>
      <c r="B30" s="4">
        <v>556800000</v>
      </c>
      <c r="C30" s="4">
        <v>556800000</v>
      </c>
    </row>
    <row r="31" spans="1:560" ht="15.75">
      <c r="A31" s="6" t="s">
        <v>19</v>
      </c>
      <c r="B31" s="7">
        <f>B22+B24</f>
        <v>12253000000</v>
      </c>
      <c r="C31" s="7">
        <f>C22+C24</f>
        <v>12523000000</v>
      </c>
    </row>
    <row r="40" spans="2:2">
      <c r="B40" s="13"/>
    </row>
    <row r="43" spans="2:2">
      <c r="B43" s="13"/>
    </row>
    <row r="44" spans="2:2">
      <c r="B44" s="13"/>
    </row>
    <row r="45" spans="2:2">
      <c r="B45" s="13"/>
    </row>
    <row r="46" spans="2:2">
      <c r="B46" s="13"/>
    </row>
    <row r="47" spans="2:2">
      <c r="B47" s="13"/>
    </row>
    <row r="48" spans="2:2">
      <c r="B48" s="13"/>
    </row>
    <row r="49" spans="2:2">
      <c r="B49" s="13"/>
    </row>
  </sheetData>
  <mergeCells count="4">
    <mergeCell ref="A3:B3"/>
    <mergeCell ref="A4:B4"/>
    <mergeCell ref="A19:B19"/>
    <mergeCell ref="A20:B20"/>
  </mergeCells>
  <pageMargins left="1.68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opLeftCell="A19" workbookViewId="0">
      <selection sqref="A1:Q71"/>
    </sheetView>
  </sheetViews>
  <sheetFormatPr baseColWidth="10" defaultRowHeight="15"/>
  <cols>
    <col min="1" max="1" width="11.140625" customWidth="1"/>
    <col min="2" max="2" width="50.85546875" customWidth="1"/>
    <col min="3" max="3" width="27" bestFit="1" customWidth="1"/>
    <col min="4" max="4" width="21.85546875" customWidth="1"/>
    <col min="5" max="5" width="21.7109375" customWidth="1"/>
    <col min="6" max="6" width="8.140625" bestFit="1" customWidth="1"/>
    <col min="7" max="7" width="27" bestFit="1" customWidth="1"/>
    <col min="8" max="16" width="22.28515625" bestFit="1" customWidth="1"/>
    <col min="17" max="17" width="25.5703125" customWidth="1"/>
    <col min="18" max="18" width="16.85546875" bestFit="1" customWidth="1"/>
    <col min="19" max="19" width="18.42578125" customWidth="1"/>
    <col min="20" max="20" width="15.140625" bestFit="1" customWidth="1"/>
  </cols>
  <sheetData>
    <row r="1" spans="1:20" ht="15" customHeight="1">
      <c r="A1" s="66" t="s">
        <v>22</v>
      </c>
      <c r="B1" s="66" t="s">
        <v>23</v>
      </c>
      <c r="C1" s="66" t="s">
        <v>85</v>
      </c>
      <c r="D1" s="68" t="s">
        <v>202</v>
      </c>
      <c r="E1" s="69"/>
      <c r="F1" s="66" t="s">
        <v>184</v>
      </c>
      <c r="G1" s="66" t="s">
        <v>187</v>
      </c>
      <c r="H1" s="66" t="s">
        <v>185</v>
      </c>
      <c r="I1" s="66" t="s">
        <v>186</v>
      </c>
      <c r="J1" s="66" t="s">
        <v>188</v>
      </c>
      <c r="K1" s="66" t="s">
        <v>189</v>
      </c>
      <c r="L1" s="66" t="s">
        <v>190</v>
      </c>
      <c r="M1" s="66" t="s">
        <v>199</v>
      </c>
      <c r="N1" s="66" t="s">
        <v>200</v>
      </c>
      <c r="O1" s="66" t="s">
        <v>205</v>
      </c>
      <c r="P1" s="66" t="s">
        <v>208</v>
      </c>
      <c r="Q1" s="66" t="s">
        <v>209</v>
      </c>
    </row>
    <row r="2" spans="1:20" ht="15" customHeight="1">
      <c r="A2" s="67"/>
      <c r="B2" s="67"/>
      <c r="C2" s="67"/>
      <c r="D2" s="55" t="s">
        <v>203</v>
      </c>
      <c r="E2" s="55" t="s">
        <v>204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ht="18.75">
      <c r="A3" s="11"/>
      <c r="B3" s="15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>
      <c r="A4" s="11"/>
      <c r="B4" s="11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0">
      <c r="A5" s="49">
        <v>30501</v>
      </c>
      <c r="B5" s="11" t="s">
        <v>25</v>
      </c>
      <c r="C5" s="16">
        <f>SUM(C6:C16)</f>
        <v>4022665696</v>
      </c>
      <c r="D5" s="16">
        <f t="shared" ref="D5:G5" si="0">SUM(D6:D16)</f>
        <v>137700000</v>
      </c>
      <c r="E5" s="16">
        <f t="shared" si="0"/>
        <v>25000000</v>
      </c>
      <c r="F5" s="16">
        <f t="shared" si="0"/>
        <v>0</v>
      </c>
      <c r="G5" s="16">
        <f t="shared" si="0"/>
        <v>4135365696</v>
      </c>
      <c r="H5" s="16">
        <f t="shared" ref="H5:Q5" si="1">SUM(H6:H16)</f>
        <v>290043177</v>
      </c>
      <c r="I5" s="16">
        <f t="shared" si="1"/>
        <v>285753880</v>
      </c>
      <c r="J5" s="16">
        <f t="shared" si="1"/>
        <v>280993839</v>
      </c>
      <c r="K5" s="16">
        <f t="shared" si="1"/>
        <v>299514360</v>
      </c>
      <c r="L5" s="16">
        <f t="shared" si="1"/>
        <v>286116645</v>
      </c>
      <c r="M5" s="16">
        <f t="shared" si="1"/>
        <v>301828330</v>
      </c>
      <c r="N5" s="16">
        <f t="shared" si="1"/>
        <v>542959023</v>
      </c>
      <c r="O5" s="16">
        <f t="shared" si="1"/>
        <v>333191529</v>
      </c>
      <c r="P5" s="16">
        <f t="shared" si="1"/>
        <v>309101965</v>
      </c>
      <c r="Q5" s="16">
        <f t="shared" si="1"/>
        <v>2929502748</v>
      </c>
    </row>
    <row r="6" spans="1:20">
      <c r="A6" s="49">
        <v>30501180401</v>
      </c>
      <c r="B6" s="17" t="s">
        <v>26</v>
      </c>
      <c r="C6" s="18">
        <v>3054529442</v>
      </c>
      <c r="D6" s="18"/>
      <c r="E6" s="18"/>
      <c r="F6" s="19"/>
      <c r="G6" s="19">
        <f>C6+D6-E6+F6</f>
        <v>3054529442</v>
      </c>
      <c r="H6" s="18">
        <v>243274394</v>
      </c>
      <c r="I6" s="18">
        <v>248637815</v>
      </c>
      <c r="J6" s="18">
        <v>236602499</v>
      </c>
      <c r="K6" s="18">
        <v>241621244</v>
      </c>
      <c r="L6" s="18">
        <v>243226636</v>
      </c>
      <c r="M6" s="18">
        <v>254060455</v>
      </c>
      <c r="N6" s="18">
        <v>339829240</v>
      </c>
      <c r="O6" s="18">
        <v>261630075</v>
      </c>
      <c r="P6" s="18">
        <v>259908483</v>
      </c>
      <c r="Q6" s="19">
        <f>H6+I6+J6+K6+L6+M6+N6+O6+P6</f>
        <v>2328790841</v>
      </c>
    </row>
    <row r="7" spans="1:20">
      <c r="A7" s="49">
        <v>30501180402</v>
      </c>
      <c r="B7" s="11" t="s">
        <v>27</v>
      </c>
      <c r="C7" s="19">
        <v>257189583</v>
      </c>
      <c r="D7" s="19"/>
      <c r="E7" s="19">
        <v>10700000</v>
      </c>
      <c r="F7" s="19"/>
      <c r="G7" s="19">
        <f t="shared" ref="G7:G28" si="2">C7+D7-E7+F7</f>
        <v>246489583</v>
      </c>
      <c r="H7" s="18"/>
      <c r="I7" s="18"/>
      <c r="J7" s="18">
        <v>0</v>
      </c>
      <c r="K7" s="18"/>
      <c r="L7" s="18"/>
      <c r="M7" s="18"/>
      <c r="N7" s="18"/>
      <c r="O7" s="18"/>
      <c r="P7" s="18"/>
      <c r="Q7" s="19">
        <f t="shared" ref="Q7:Q28" si="3">H7+I7+J7+K7+L7+M7+N7+O7+P7</f>
        <v>0</v>
      </c>
    </row>
    <row r="8" spans="1:20">
      <c r="A8" s="49">
        <v>30501180403</v>
      </c>
      <c r="B8" s="11" t="s">
        <v>28</v>
      </c>
      <c r="C8" s="19">
        <v>128149827</v>
      </c>
      <c r="D8" s="19"/>
      <c r="E8" s="19"/>
      <c r="F8" s="19"/>
      <c r="G8" s="19">
        <f t="shared" si="2"/>
        <v>128149827</v>
      </c>
      <c r="H8" s="18">
        <v>5450543</v>
      </c>
      <c r="I8" s="18">
        <v>9503763</v>
      </c>
      <c r="J8" s="18">
        <v>6153039</v>
      </c>
      <c r="K8" s="18">
        <v>10832273</v>
      </c>
      <c r="L8" s="18">
        <v>7357416</v>
      </c>
      <c r="M8" s="18">
        <v>8596075</v>
      </c>
      <c r="N8" s="18">
        <v>4912094</v>
      </c>
      <c r="O8" s="18">
        <v>17499012</v>
      </c>
      <c r="P8" s="18">
        <v>10589604</v>
      </c>
      <c r="Q8" s="19">
        <f t="shared" si="3"/>
        <v>80893819</v>
      </c>
      <c r="T8" s="24"/>
    </row>
    <row r="9" spans="1:20">
      <c r="A9" s="49">
        <v>30501180404</v>
      </c>
      <c r="B9" s="11" t="s">
        <v>29</v>
      </c>
      <c r="C9" s="19">
        <v>15000000</v>
      </c>
      <c r="D9" s="19"/>
      <c r="E9" s="19">
        <v>10000000</v>
      </c>
      <c r="F9" s="19"/>
      <c r="G9" s="19">
        <f t="shared" si="2"/>
        <v>5000000</v>
      </c>
      <c r="H9" s="18"/>
      <c r="I9" s="18"/>
      <c r="J9" s="18">
        <v>0</v>
      </c>
      <c r="K9" s="18"/>
      <c r="L9" s="18"/>
      <c r="M9" s="18"/>
      <c r="N9" s="18"/>
      <c r="O9" s="18"/>
      <c r="P9" s="18"/>
      <c r="Q9" s="19">
        <f t="shared" si="3"/>
        <v>0</v>
      </c>
    </row>
    <row r="10" spans="1:20">
      <c r="A10" s="49">
        <v>30501180405</v>
      </c>
      <c r="B10" s="11" t="s">
        <v>30</v>
      </c>
      <c r="C10" s="19">
        <v>3000000</v>
      </c>
      <c r="D10" s="19"/>
      <c r="E10" s="19"/>
      <c r="F10" s="19"/>
      <c r="G10" s="19">
        <f t="shared" si="2"/>
        <v>3000000</v>
      </c>
      <c r="H10" s="18">
        <v>107268</v>
      </c>
      <c r="I10" s="18">
        <v>107268</v>
      </c>
      <c r="J10" s="18">
        <v>166280</v>
      </c>
      <c r="K10" s="18">
        <v>166280</v>
      </c>
      <c r="L10" s="18">
        <v>166280</v>
      </c>
      <c r="M10" s="18">
        <v>166280</v>
      </c>
      <c r="N10" s="18">
        <v>166280</v>
      </c>
      <c r="O10" s="18">
        <v>166280</v>
      </c>
      <c r="P10" s="18">
        <v>83140</v>
      </c>
      <c r="Q10" s="19">
        <f t="shared" si="3"/>
        <v>1295356</v>
      </c>
    </row>
    <row r="11" spans="1:20">
      <c r="A11" s="49">
        <v>30501180406</v>
      </c>
      <c r="B11" s="11" t="s">
        <v>31</v>
      </c>
      <c r="C11" s="19">
        <v>27000000</v>
      </c>
      <c r="D11" s="19"/>
      <c r="E11" s="19">
        <v>4300000</v>
      </c>
      <c r="F11" s="19"/>
      <c r="G11" s="19">
        <f t="shared" si="2"/>
        <v>22700000</v>
      </c>
      <c r="H11" s="18"/>
      <c r="I11" s="18"/>
      <c r="J11" s="18">
        <v>0</v>
      </c>
      <c r="K11" s="18"/>
      <c r="L11" s="18"/>
      <c r="M11" s="18"/>
      <c r="N11" s="18"/>
      <c r="O11" s="18">
        <v>3692494</v>
      </c>
      <c r="P11" s="18"/>
      <c r="Q11" s="19">
        <f t="shared" si="3"/>
        <v>3692494</v>
      </c>
      <c r="R11" s="24"/>
    </row>
    <row r="12" spans="1:20">
      <c r="A12" s="49">
        <v>30501180407</v>
      </c>
      <c r="B12" s="11" t="s">
        <v>32</v>
      </c>
      <c r="C12" s="19">
        <v>1000000</v>
      </c>
      <c r="D12" s="19"/>
      <c r="E12" s="19"/>
      <c r="F12" s="19"/>
      <c r="G12" s="19">
        <f t="shared" si="2"/>
        <v>1000000</v>
      </c>
      <c r="H12" s="18"/>
      <c r="I12" s="18"/>
      <c r="J12" s="18">
        <v>0</v>
      </c>
      <c r="K12" s="18"/>
      <c r="L12" s="18"/>
      <c r="M12" s="18"/>
      <c r="N12" s="18"/>
      <c r="O12" s="18"/>
      <c r="P12" s="18"/>
      <c r="Q12" s="19">
        <f t="shared" si="3"/>
        <v>0</v>
      </c>
    </row>
    <row r="13" spans="1:20">
      <c r="A13" s="49">
        <v>30501180408</v>
      </c>
      <c r="B13" s="11" t="s">
        <v>33</v>
      </c>
      <c r="C13" s="19">
        <v>300000000</v>
      </c>
      <c r="D13" s="19">
        <v>90000000</v>
      </c>
      <c r="E13" s="19"/>
      <c r="F13" s="19"/>
      <c r="G13" s="19">
        <f t="shared" si="2"/>
        <v>390000000</v>
      </c>
      <c r="H13" s="18">
        <v>30970283</v>
      </c>
      <c r="I13" s="18">
        <v>23046868</v>
      </c>
      <c r="J13" s="18">
        <v>29033767</v>
      </c>
      <c r="K13" s="18">
        <v>39852756</v>
      </c>
      <c r="L13" s="18">
        <v>30230764</v>
      </c>
      <c r="M13" s="18">
        <v>31427020</v>
      </c>
      <c r="N13" s="18">
        <v>54360179</v>
      </c>
      <c r="O13" s="18">
        <v>32225375</v>
      </c>
      <c r="P13" s="18">
        <v>26332600</v>
      </c>
      <c r="Q13" s="19">
        <f t="shared" si="3"/>
        <v>297479612</v>
      </c>
    </row>
    <row r="14" spans="1:20">
      <c r="A14" s="49">
        <v>30501180409</v>
      </c>
      <c r="B14" s="11" t="s">
        <v>34</v>
      </c>
      <c r="C14" s="19">
        <v>127706402</v>
      </c>
      <c r="D14" s="19">
        <v>10700000</v>
      </c>
      <c r="E14" s="19"/>
      <c r="F14" s="19"/>
      <c r="G14" s="19">
        <f t="shared" si="2"/>
        <v>138406402</v>
      </c>
      <c r="H14" s="18"/>
      <c r="I14" s="18"/>
      <c r="J14" s="18">
        <v>0</v>
      </c>
      <c r="K14" s="18"/>
      <c r="L14" s="18"/>
      <c r="M14" s="18"/>
      <c r="N14" s="18">
        <v>138291178</v>
      </c>
      <c r="O14" s="18"/>
      <c r="P14" s="18"/>
      <c r="Q14" s="19">
        <f t="shared" si="3"/>
        <v>138291178</v>
      </c>
    </row>
    <row r="15" spans="1:20">
      <c r="A15" s="49">
        <v>30501180410</v>
      </c>
      <c r="B15" s="11" t="s">
        <v>35</v>
      </c>
      <c r="C15" s="19">
        <v>89090442</v>
      </c>
      <c r="D15" s="19">
        <v>27000000</v>
      </c>
      <c r="E15" s="19"/>
      <c r="F15" s="19"/>
      <c r="G15" s="19">
        <f t="shared" si="2"/>
        <v>116090442</v>
      </c>
      <c r="H15" s="18">
        <v>9548557</v>
      </c>
      <c r="I15" s="18">
        <v>3257578</v>
      </c>
      <c r="J15" s="18">
        <v>8259466</v>
      </c>
      <c r="K15" s="18">
        <v>5682893</v>
      </c>
      <c r="L15" s="18">
        <v>4215231</v>
      </c>
      <c r="M15" s="18">
        <v>6509386</v>
      </c>
      <c r="N15" s="18">
        <v>5080233</v>
      </c>
      <c r="O15" s="18">
        <v>15798469</v>
      </c>
      <c r="P15" s="18">
        <v>770992</v>
      </c>
      <c r="Q15" s="19">
        <f t="shared" si="3"/>
        <v>59122805</v>
      </c>
    </row>
    <row r="16" spans="1:20">
      <c r="A16" s="49">
        <v>30501180411</v>
      </c>
      <c r="B16" s="11" t="s">
        <v>36</v>
      </c>
      <c r="C16" s="19">
        <v>20000000</v>
      </c>
      <c r="D16" s="19">
        <v>10000000</v>
      </c>
      <c r="E16" s="19"/>
      <c r="F16" s="19"/>
      <c r="G16" s="19">
        <f t="shared" si="2"/>
        <v>30000000</v>
      </c>
      <c r="H16" s="18">
        <v>692132</v>
      </c>
      <c r="I16" s="18">
        <v>1200588</v>
      </c>
      <c r="J16" s="18">
        <v>778788</v>
      </c>
      <c r="K16" s="18">
        <v>1358914</v>
      </c>
      <c r="L16" s="18">
        <v>920318</v>
      </c>
      <c r="M16" s="18">
        <v>1069114</v>
      </c>
      <c r="N16" s="18">
        <v>319819</v>
      </c>
      <c r="O16" s="18">
        <v>2179824</v>
      </c>
      <c r="P16" s="18">
        <v>11417146</v>
      </c>
      <c r="Q16" s="19">
        <f t="shared" si="3"/>
        <v>19936643</v>
      </c>
      <c r="R16" s="24"/>
    </row>
    <row r="17" spans="1:18">
      <c r="A17" s="11"/>
      <c r="B17" s="11" t="s">
        <v>37</v>
      </c>
      <c r="C17" s="16">
        <f t="shared" ref="C17:G17" si="4">SUM(C18:C21)</f>
        <v>1403207526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1403207526</v>
      </c>
      <c r="H17" s="16">
        <f t="shared" ref="H17:Q17" si="5">SUM(H18:H21)</f>
        <v>58452988</v>
      </c>
      <c r="I17" s="16">
        <f t="shared" si="5"/>
        <v>52998721</v>
      </c>
      <c r="J17" s="16">
        <f>SUM(J18:J21)</f>
        <v>205000000</v>
      </c>
      <c r="K17" s="16">
        <f t="shared" ref="K17:P17" si="6">SUM(K18:K21)</f>
        <v>63500000</v>
      </c>
      <c r="L17" s="16">
        <f t="shared" si="6"/>
        <v>80700000</v>
      </c>
      <c r="M17" s="16">
        <f t="shared" si="6"/>
        <v>84905756</v>
      </c>
      <c r="N17" s="16">
        <f t="shared" si="6"/>
        <v>81616666</v>
      </c>
      <c r="O17" s="16">
        <f t="shared" si="6"/>
        <v>0</v>
      </c>
      <c r="P17" s="16">
        <f t="shared" si="6"/>
        <v>0</v>
      </c>
      <c r="Q17" s="16">
        <f t="shared" si="5"/>
        <v>627174131</v>
      </c>
      <c r="R17" s="24"/>
    </row>
    <row r="18" spans="1:18">
      <c r="A18" s="49">
        <v>30501180412</v>
      </c>
      <c r="B18" s="11" t="s">
        <v>38</v>
      </c>
      <c r="C18" s="19">
        <v>459500000</v>
      </c>
      <c r="D18" s="19"/>
      <c r="E18" s="19"/>
      <c r="F18" s="19"/>
      <c r="G18" s="19">
        <f t="shared" si="2"/>
        <v>459500000</v>
      </c>
      <c r="H18" s="18">
        <v>25500000</v>
      </c>
      <c r="I18" s="18">
        <v>36000000</v>
      </c>
      <c r="J18" s="18">
        <v>167000000</v>
      </c>
      <c r="K18" s="18">
        <v>25500000</v>
      </c>
      <c r="L18" s="18">
        <v>0</v>
      </c>
      <c r="M18" s="18">
        <v>41400000</v>
      </c>
      <c r="N18" s="18">
        <v>81616666</v>
      </c>
      <c r="O18" s="18"/>
      <c r="P18" s="18"/>
      <c r="Q18" s="19">
        <f t="shared" si="3"/>
        <v>377016666</v>
      </c>
    </row>
    <row r="19" spans="1:18">
      <c r="A19" s="49">
        <v>30501180413</v>
      </c>
      <c r="B19" s="14" t="s">
        <v>206</v>
      </c>
      <c r="C19" s="19">
        <v>250000000</v>
      </c>
      <c r="D19" s="19"/>
      <c r="E19" s="19"/>
      <c r="F19" s="19"/>
      <c r="G19" s="19">
        <f t="shared" si="2"/>
        <v>250000000</v>
      </c>
      <c r="H19" s="18">
        <v>32952988</v>
      </c>
      <c r="I19" s="18">
        <v>16998721</v>
      </c>
      <c r="J19" s="18"/>
      <c r="K19" s="18">
        <v>0</v>
      </c>
      <c r="L19" s="18">
        <v>12700000</v>
      </c>
      <c r="M19" s="18">
        <v>1835252</v>
      </c>
      <c r="N19" s="18"/>
      <c r="O19" s="18"/>
      <c r="P19" s="18"/>
      <c r="Q19" s="19">
        <f t="shared" si="3"/>
        <v>64486961</v>
      </c>
    </row>
    <row r="20" spans="1:18">
      <c r="A20" s="49">
        <v>30501180414</v>
      </c>
      <c r="B20" s="11" t="s">
        <v>39</v>
      </c>
      <c r="C20" s="19">
        <v>692707526</v>
      </c>
      <c r="D20" s="19"/>
      <c r="E20" s="19"/>
      <c r="F20" s="19"/>
      <c r="G20" s="19">
        <f t="shared" si="2"/>
        <v>692707526</v>
      </c>
      <c r="H20" s="18"/>
      <c r="I20" s="18"/>
      <c r="J20" s="18">
        <v>38000000</v>
      </c>
      <c r="K20" s="18">
        <v>38000000</v>
      </c>
      <c r="L20" s="18">
        <v>68000000</v>
      </c>
      <c r="M20" s="18">
        <v>41670504</v>
      </c>
      <c r="N20" s="18"/>
      <c r="O20" s="18"/>
      <c r="P20" s="18"/>
      <c r="Q20" s="19">
        <f t="shared" si="3"/>
        <v>185670504</v>
      </c>
    </row>
    <row r="21" spans="1:18">
      <c r="A21" s="49">
        <v>30501180415</v>
      </c>
      <c r="B21" s="11" t="s">
        <v>40</v>
      </c>
      <c r="C21" s="19">
        <v>1000000</v>
      </c>
      <c r="D21" s="19"/>
      <c r="E21" s="19"/>
      <c r="F21" s="19"/>
      <c r="G21" s="19">
        <f t="shared" si="2"/>
        <v>1000000</v>
      </c>
      <c r="H21" s="18"/>
      <c r="I21" s="18"/>
      <c r="J21" s="18"/>
      <c r="K21" s="18"/>
      <c r="L21" s="18"/>
      <c r="M21" s="18"/>
      <c r="N21" s="18"/>
      <c r="O21" s="18"/>
      <c r="P21" s="18"/>
      <c r="Q21" s="19">
        <f t="shared" si="3"/>
        <v>0</v>
      </c>
    </row>
    <row r="22" spans="1:18">
      <c r="A22" s="49">
        <v>30501180416</v>
      </c>
      <c r="B22" s="11" t="s">
        <v>41</v>
      </c>
      <c r="C22" s="16">
        <f>SUM(C23:C28)</f>
        <v>1278084245</v>
      </c>
      <c r="D22" s="16">
        <f t="shared" ref="D22:G22" si="7">SUM(D23:D28)</f>
        <v>0</v>
      </c>
      <c r="E22" s="16">
        <f t="shared" si="7"/>
        <v>97300000</v>
      </c>
      <c r="F22" s="16">
        <f t="shared" si="7"/>
        <v>0</v>
      </c>
      <c r="G22" s="16">
        <f t="shared" si="7"/>
        <v>1180784245</v>
      </c>
      <c r="H22" s="16">
        <f>SUM(H23:H28)</f>
        <v>63294216</v>
      </c>
      <c r="I22" s="16">
        <f t="shared" ref="I22:Q22" si="8">SUM(I23:I28)</f>
        <v>62564452</v>
      </c>
      <c r="J22" s="16">
        <f t="shared" si="8"/>
        <v>61121814</v>
      </c>
      <c r="K22" s="16">
        <f t="shared" si="8"/>
        <v>63592345</v>
      </c>
      <c r="L22" s="16">
        <f t="shared" si="8"/>
        <v>65154374</v>
      </c>
      <c r="M22" s="16">
        <f t="shared" si="8"/>
        <v>56845921</v>
      </c>
      <c r="N22" s="16">
        <f t="shared" si="8"/>
        <v>76952816</v>
      </c>
      <c r="O22" s="16">
        <f t="shared" si="8"/>
        <v>58471399</v>
      </c>
      <c r="P22" s="16">
        <f t="shared" si="8"/>
        <v>57172249</v>
      </c>
      <c r="Q22" s="59">
        <f t="shared" si="8"/>
        <v>565169586</v>
      </c>
    </row>
    <row r="23" spans="1:18">
      <c r="A23" s="49">
        <v>30501180417</v>
      </c>
      <c r="B23" s="11" t="s">
        <v>42</v>
      </c>
      <c r="C23" s="19">
        <v>122301178</v>
      </c>
      <c r="D23" s="19"/>
      <c r="E23" s="19"/>
      <c r="F23" s="19"/>
      <c r="G23" s="19">
        <f t="shared" si="2"/>
        <v>122301178</v>
      </c>
      <c r="H23" s="26">
        <v>9518100</v>
      </c>
      <c r="I23" s="26">
        <v>9303400</v>
      </c>
      <c r="J23" s="26">
        <v>8956874</v>
      </c>
      <c r="K23" s="26">
        <v>9056235</v>
      </c>
      <c r="L23" s="26">
        <v>9154789</v>
      </c>
      <c r="M23" s="26">
        <v>9456871</v>
      </c>
      <c r="N23" s="26">
        <v>10574822</v>
      </c>
      <c r="O23" s="26">
        <v>7542681</v>
      </c>
      <c r="P23" s="26">
        <v>7241864</v>
      </c>
      <c r="Q23" s="19">
        <f t="shared" si="3"/>
        <v>80805636</v>
      </c>
    </row>
    <row r="24" spans="1:18">
      <c r="A24" s="49">
        <v>30501180418</v>
      </c>
      <c r="B24" s="11" t="s">
        <v>43</v>
      </c>
      <c r="C24" s="19">
        <v>120229971</v>
      </c>
      <c r="D24" s="19"/>
      <c r="E24" s="19"/>
      <c r="F24" s="19"/>
      <c r="G24" s="19">
        <f t="shared" si="2"/>
        <v>120229971</v>
      </c>
      <c r="H24" s="26">
        <v>5903900</v>
      </c>
      <c r="I24" s="26">
        <v>5849200</v>
      </c>
      <c r="J24" s="26">
        <v>5145782</v>
      </c>
      <c r="K24" s="26">
        <v>5238756</v>
      </c>
      <c r="L24" s="26">
        <v>5295641</v>
      </c>
      <c r="M24" s="26">
        <v>5746812</v>
      </c>
      <c r="N24" s="26">
        <v>6425518</v>
      </c>
      <c r="O24" s="26">
        <v>4123586</v>
      </c>
      <c r="P24" s="26">
        <v>3952687</v>
      </c>
      <c r="Q24" s="19">
        <f t="shared" si="3"/>
        <v>47681882</v>
      </c>
    </row>
    <row r="25" spans="1:18">
      <c r="A25" s="49">
        <v>30501180419</v>
      </c>
      <c r="B25" s="11" t="s">
        <v>44</v>
      </c>
      <c r="C25" s="19">
        <v>80453314</v>
      </c>
      <c r="D25" s="19"/>
      <c r="E25" s="19"/>
      <c r="F25" s="19"/>
      <c r="G25" s="19">
        <f t="shared" si="2"/>
        <v>80453314</v>
      </c>
      <c r="H25" s="26">
        <v>1189000</v>
      </c>
      <c r="I25" s="26">
        <v>1161900</v>
      </c>
      <c r="J25" s="26">
        <v>1095844</v>
      </c>
      <c r="K25" s="26">
        <v>1100524</v>
      </c>
      <c r="L25" s="26">
        <v>1201623</v>
      </c>
      <c r="M25" s="26">
        <v>1295874</v>
      </c>
      <c r="N25" s="26">
        <v>1658746</v>
      </c>
      <c r="O25" s="26">
        <v>1056547</v>
      </c>
      <c r="P25" s="26">
        <v>985463</v>
      </c>
      <c r="Q25" s="19">
        <f t="shared" si="3"/>
        <v>10745521</v>
      </c>
    </row>
    <row r="26" spans="1:18">
      <c r="A26" s="49">
        <v>30501180420</v>
      </c>
      <c r="B26" s="11" t="s">
        <v>45</v>
      </c>
      <c r="C26" s="19">
        <v>80453314</v>
      </c>
      <c r="D26" s="19"/>
      <c r="E26" s="19"/>
      <c r="F26" s="19"/>
      <c r="G26" s="19">
        <f t="shared" si="2"/>
        <v>80453314</v>
      </c>
      <c r="H26" s="26">
        <v>1189000</v>
      </c>
      <c r="I26" s="26">
        <v>1161900</v>
      </c>
      <c r="J26" s="26">
        <v>1095844</v>
      </c>
      <c r="K26" s="26">
        <v>1100524</v>
      </c>
      <c r="L26" s="26">
        <v>1201623</v>
      </c>
      <c r="M26" s="26">
        <v>1295874</v>
      </c>
      <c r="N26" s="26">
        <v>1658746</v>
      </c>
      <c r="O26" s="26">
        <v>1056547</v>
      </c>
      <c r="P26" s="26">
        <v>985463</v>
      </c>
      <c r="Q26" s="19">
        <f t="shared" si="3"/>
        <v>10745521</v>
      </c>
    </row>
    <row r="27" spans="1:18">
      <c r="A27" s="49">
        <v>30501180421</v>
      </c>
      <c r="B27" s="11" t="s">
        <v>46</v>
      </c>
      <c r="C27" s="19">
        <v>50000000</v>
      </c>
      <c r="D27" s="19"/>
      <c r="E27" s="19"/>
      <c r="F27" s="19"/>
      <c r="G27" s="19">
        <f t="shared" si="2"/>
        <v>50000000</v>
      </c>
      <c r="H27" s="26">
        <v>2379400</v>
      </c>
      <c r="I27" s="26">
        <v>2326100</v>
      </c>
      <c r="J27" s="26">
        <v>2258741</v>
      </c>
      <c r="K27" s="26">
        <f>K26*2</f>
        <v>2201048</v>
      </c>
      <c r="L27" s="26">
        <f>L26*2</f>
        <v>2403246</v>
      </c>
      <c r="M27" s="26">
        <f>M26*2</f>
        <v>2591748</v>
      </c>
      <c r="N27" s="26">
        <f>N26*2</f>
        <v>3317492</v>
      </c>
      <c r="O27" s="26">
        <f>O26*2</f>
        <v>2113094</v>
      </c>
      <c r="P27" s="26">
        <v>1970926</v>
      </c>
      <c r="Q27" s="19">
        <f t="shared" si="3"/>
        <v>21561795</v>
      </c>
    </row>
    <row r="28" spans="1:18">
      <c r="A28" s="49">
        <v>30501180422</v>
      </c>
      <c r="B28" s="11" t="s">
        <v>47</v>
      </c>
      <c r="C28" s="19">
        <v>824646468</v>
      </c>
      <c r="D28" s="19"/>
      <c r="E28" s="19">
        <v>97300000</v>
      </c>
      <c r="F28" s="19"/>
      <c r="G28" s="19">
        <f t="shared" si="2"/>
        <v>727346468</v>
      </c>
      <c r="H28" s="26">
        <f>23573058+19541758</f>
        <v>43114816</v>
      </c>
      <c r="I28" s="26">
        <f>23919826+18842126</f>
        <v>42761952</v>
      </c>
      <c r="J28" s="26">
        <v>42568729</v>
      </c>
      <c r="K28" s="26">
        <v>44895258</v>
      </c>
      <c r="L28" s="26">
        <v>45897452</v>
      </c>
      <c r="M28" s="26">
        <v>36458742</v>
      </c>
      <c r="N28" s="26">
        <v>53317492</v>
      </c>
      <c r="O28" s="26">
        <v>42578944</v>
      </c>
      <c r="P28" s="26">
        <v>42035846</v>
      </c>
      <c r="Q28" s="19">
        <f t="shared" si="3"/>
        <v>393629231</v>
      </c>
      <c r="R28" s="25"/>
    </row>
    <row r="29" spans="1:18">
      <c r="A29" s="49">
        <v>30502</v>
      </c>
      <c r="B29" s="11" t="s">
        <v>48</v>
      </c>
      <c r="C29" s="14"/>
      <c r="D29" s="14"/>
      <c r="E29" s="14"/>
      <c r="F29" s="14"/>
      <c r="G29" s="14"/>
      <c r="H29" s="18"/>
      <c r="I29" s="18"/>
      <c r="J29" s="18"/>
      <c r="K29" s="18"/>
      <c r="L29" s="18"/>
      <c r="M29" s="18"/>
      <c r="N29" s="18"/>
      <c r="O29" s="18"/>
      <c r="P29" s="18"/>
      <c r="Q29" s="14"/>
    </row>
    <row r="30" spans="1:18">
      <c r="A30" s="11"/>
      <c r="B30" s="11" t="s">
        <v>49</v>
      </c>
      <c r="C30" s="16">
        <f t="shared" ref="C30:G30" si="9">SUM(C31:C36)</f>
        <v>581000000</v>
      </c>
      <c r="D30" s="16">
        <f t="shared" si="9"/>
        <v>0</v>
      </c>
      <c r="E30" s="16">
        <f t="shared" si="9"/>
        <v>0</v>
      </c>
      <c r="F30" s="16">
        <f t="shared" si="9"/>
        <v>0</v>
      </c>
      <c r="G30" s="16">
        <f t="shared" si="9"/>
        <v>581000000</v>
      </c>
      <c r="H30" s="16">
        <f t="shared" ref="H30" si="10">SUM(H31:H36)</f>
        <v>0</v>
      </c>
      <c r="I30" s="16">
        <f>SUM(I31:I36)</f>
        <v>1014361</v>
      </c>
      <c r="J30" s="16">
        <f t="shared" ref="J30:Q30" si="11">SUM(J31:J36)</f>
        <v>0</v>
      </c>
      <c r="K30" s="16">
        <f t="shared" si="11"/>
        <v>0</v>
      </c>
      <c r="L30" s="16">
        <f t="shared" si="11"/>
        <v>63138478</v>
      </c>
      <c r="M30" s="16">
        <f t="shared" si="11"/>
        <v>122610000</v>
      </c>
      <c r="N30" s="16">
        <f t="shared" si="11"/>
        <v>11787760</v>
      </c>
      <c r="O30" s="16">
        <f t="shared" si="11"/>
        <v>0</v>
      </c>
      <c r="P30" s="16">
        <f t="shared" si="11"/>
        <v>0</v>
      </c>
      <c r="Q30" s="16">
        <f t="shared" si="11"/>
        <v>198550599</v>
      </c>
    </row>
    <row r="31" spans="1:18">
      <c r="A31" s="49">
        <v>30502180401</v>
      </c>
      <c r="B31" s="11" t="s">
        <v>50</v>
      </c>
      <c r="C31" s="19">
        <v>150000000</v>
      </c>
      <c r="D31" s="19"/>
      <c r="E31" s="19"/>
      <c r="F31" s="19"/>
      <c r="G31" s="19">
        <f t="shared" ref="G31:G47" si="12">C31+D31-E31+F31</f>
        <v>150000000</v>
      </c>
      <c r="H31" s="18"/>
      <c r="I31" s="18"/>
      <c r="J31" s="18"/>
      <c r="K31" s="18"/>
      <c r="L31" s="18"/>
      <c r="M31" s="18"/>
      <c r="N31" s="18">
        <v>9282810</v>
      </c>
      <c r="O31" s="18"/>
      <c r="P31" s="18"/>
      <c r="Q31" s="19">
        <f t="shared" ref="Q31:Q47" si="13">H31+I31+J31+K31+L31+M31+N31+O31+P31</f>
        <v>9282810</v>
      </c>
    </row>
    <row r="32" spans="1:18">
      <c r="A32" s="49">
        <v>30502180402</v>
      </c>
      <c r="B32" s="14" t="s">
        <v>51</v>
      </c>
      <c r="C32" s="19">
        <v>260000000</v>
      </c>
      <c r="D32" s="19"/>
      <c r="E32" s="19"/>
      <c r="F32" s="19"/>
      <c r="G32" s="19">
        <f t="shared" si="12"/>
        <v>260000000</v>
      </c>
      <c r="H32" s="18"/>
      <c r="I32" s="18">
        <v>1014361</v>
      </c>
      <c r="J32" s="18"/>
      <c r="K32" s="18">
        <v>0</v>
      </c>
      <c r="L32" s="18">
        <v>63138478</v>
      </c>
      <c r="M32" s="18"/>
      <c r="N32" s="18"/>
      <c r="O32" s="18"/>
      <c r="P32" s="18"/>
      <c r="Q32" s="19">
        <f t="shared" si="13"/>
        <v>64152839</v>
      </c>
    </row>
    <row r="33" spans="1:20">
      <c r="A33" s="49">
        <v>30502180403</v>
      </c>
      <c r="B33" s="11" t="s">
        <v>52</v>
      </c>
      <c r="C33" s="19">
        <v>140000000</v>
      </c>
      <c r="D33" s="19"/>
      <c r="E33" s="19"/>
      <c r="F33" s="19"/>
      <c r="G33" s="19">
        <f t="shared" si="12"/>
        <v>140000000</v>
      </c>
      <c r="H33" s="18"/>
      <c r="I33" s="18"/>
      <c r="J33" s="18"/>
      <c r="K33" s="18"/>
      <c r="L33" s="18"/>
      <c r="M33" s="18">
        <v>122610000</v>
      </c>
      <c r="N33" s="18">
        <v>2504950</v>
      </c>
      <c r="O33" s="18"/>
      <c r="P33" s="18"/>
      <c r="Q33" s="19">
        <f t="shared" si="13"/>
        <v>125114950</v>
      </c>
      <c r="T33" s="52"/>
    </row>
    <row r="34" spans="1:20">
      <c r="A34" s="49">
        <v>30502180404</v>
      </c>
      <c r="B34" s="11" t="s">
        <v>53</v>
      </c>
      <c r="C34" s="19">
        <v>10000000</v>
      </c>
      <c r="D34" s="19"/>
      <c r="E34" s="19"/>
      <c r="F34" s="19"/>
      <c r="G34" s="19">
        <f t="shared" si="12"/>
        <v>10000000</v>
      </c>
      <c r="H34" s="18"/>
      <c r="I34" s="18"/>
      <c r="J34" s="18"/>
      <c r="K34" s="18"/>
      <c r="L34" s="18"/>
      <c r="M34" s="18"/>
      <c r="N34" s="18"/>
      <c r="O34" s="18"/>
      <c r="P34" s="18"/>
      <c r="Q34" s="19">
        <f t="shared" si="13"/>
        <v>0</v>
      </c>
      <c r="T34" s="52"/>
    </row>
    <row r="35" spans="1:20">
      <c r="A35" s="49">
        <v>30502180405</v>
      </c>
      <c r="B35" s="11" t="s">
        <v>54</v>
      </c>
      <c r="C35" s="19">
        <v>1000000</v>
      </c>
      <c r="D35" s="19"/>
      <c r="E35" s="19"/>
      <c r="F35" s="19"/>
      <c r="G35" s="19">
        <f t="shared" si="12"/>
        <v>1000000</v>
      </c>
      <c r="H35" s="18"/>
      <c r="I35" s="18"/>
      <c r="J35" s="18"/>
      <c r="K35" s="18"/>
      <c r="L35" s="18"/>
      <c r="M35" s="18"/>
      <c r="N35" s="18"/>
      <c r="O35" s="18"/>
      <c r="P35" s="18"/>
      <c r="Q35" s="19">
        <f t="shared" si="13"/>
        <v>0</v>
      </c>
      <c r="T35" s="52"/>
    </row>
    <row r="36" spans="1:20">
      <c r="A36" s="49">
        <v>30502180406</v>
      </c>
      <c r="B36" s="11" t="s">
        <v>55</v>
      </c>
      <c r="C36" s="19">
        <v>20000000</v>
      </c>
      <c r="D36" s="19"/>
      <c r="E36" s="19"/>
      <c r="F36" s="19"/>
      <c r="G36" s="19">
        <f t="shared" si="12"/>
        <v>20000000</v>
      </c>
      <c r="H36" s="18"/>
      <c r="I36" s="18"/>
      <c r="J36" s="18"/>
      <c r="K36" s="18"/>
      <c r="L36" s="18"/>
      <c r="M36" s="18"/>
      <c r="N36" s="18"/>
      <c r="O36" s="18"/>
      <c r="P36" s="18"/>
      <c r="Q36" s="19">
        <f t="shared" si="13"/>
        <v>0</v>
      </c>
      <c r="T36" s="52"/>
    </row>
    <row r="37" spans="1:20">
      <c r="A37" s="11"/>
      <c r="B37" s="11" t="s">
        <v>56</v>
      </c>
      <c r="C37" s="16">
        <f t="shared" ref="C37:G37" si="14">SUM(C38:C47)</f>
        <v>679042533</v>
      </c>
      <c r="D37" s="16">
        <f t="shared" si="14"/>
        <v>4600000</v>
      </c>
      <c r="E37" s="16">
        <f t="shared" si="14"/>
        <v>20000000</v>
      </c>
      <c r="F37" s="16">
        <f t="shared" si="14"/>
        <v>0</v>
      </c>
      <c r="G37" s="16">
        <f t="shared" si="14"/>
        <v>663642533</v>
      </c>
      <c r="H37" s="16">
        <f t="shared" ref="H37:Q37" si="15">SUM(H38:H47)</f>
        <v>16256046</v>
      </c>
      <c r="I37" s="16">
        <f t="shared" si="15"/>
        <v>130445450</v>
      </c>
      <c r="J37" s="16">
        <f t="shared" si="15"/>
        <v>17734299</v>
      </c>
      <c r="K37" s="16">
        <f t="shared" si="15"/>
        <v>22511419</v>
      </c>
      <c r="L37" s="16">
        <f t="shared" si="15"/>
        <v>13216804</v>
      </c>
      <c r="M37" s="16">
        <f t="shared" si="15"/>
        <v>15628340</v>
      </c>
      <c r="N37" s="16">
        <f t="shared" si="15"/>
        <v>20941317</v>
      </c>
      <c r="O37" s="16">
        <f t="shared" si="15"/>
        <v>18800721</v>
      </c>
      <c r="P37" s="16">
        <f t="shared" si="15"/>
        <v>12415801</v>
      </c>
      <c r="Q37" s="16">
        <f t="shared" si="15"/>
        <v>267950197</v>
      </c>
      <c r="T37" s="52"/>
    </row>
    <row r="38" spans="1:20">
      <c r="A38" s="49">
        <v>30502180407</v>
      </c>
      <c r="B38" s="11" t="s">
        <v>57</v>
      </c>
      <c r="C38" s="20">
        <v>69000000</v>
      </c>
      <c r="D38" s="20"/>
      <c r="E38" s="20"/>
      <c r="F38" s="19"/>
      <c r="G38" s="19">
        <f t="shared" si="12"/>
        <v>69000000</v>
      </c>
      <c r="H38" s="18">
        <v>602136</v>
      </c>
      <c r="I38" s="18">
        <v>618189</v>
      </c>
      <c r="J38" s="18">
        <v>617690</v>
      </c>
      <c r="K38" s="18">
        <v>617511</v>
      </c>
      <c r="L38" s="18">
        <v>617654</v>
      </c>
      <c r="M38" s="18">
        <v>497691</v>
      </c>
      <c r="N38" s="18">
        <v>617297</v>
      </c>
      <c r="O38" s="18">
        <v>617475</v>
      </c>
      <c r="P38" s="18">
        <v>617190</v>
      </c>
      <c r="Q38" s="19">
        <f t="shared" si="13"/>
        <v>5422833</v>
      </c>
      <c r="T38" s="52"/>
    </row>
    <row r="39" spans="1:20">
      <c r="A39" s="49">
        <v>30502180408</v>
      </c>
      <c r="B39" s="11" t="s">
        <v>58</v>
      </c>
      <c r="C39" s="20">
        <v>150000000</v>
      </c>
      <c r="D39" s="20"/>
      <c r="E39" s="20"/>
      <c r="F39" s="19"/>
      <c r="G39" s="19">
        <f t="shared" si="12"/>
        <v>150000000</v>
      </c>
      <c r="H39" s="18"/>
      <c r="I39" s="18"/>
      <c r="J39" s="18"/>
      <c r="K39" s="18"/>
      <c r="L39" s="18"/>
      <c r="M39" s="18"/>
      <c r="N39" s="18"/>
      <c r="O39" s="18"/>
      <c r="P39" s="18"/>
      <c r="Q39" s="19">
        <f t="shared" si="13"/>
        <v>0</v>
      </c>
      <c r="T39" s="52"/>
    </row>
    <row r="40" spans="1:20">
      <c r="A40" s="49">
        <v>30502180409</v>
      </c>
      <c r="B40" s="11" t="s">
        <v>59</v>
      </c>
      <c r="C40" s="20">
        <v>46000000</v>
      </c>
      <c r="D40" s="20">
        <v>4500000</v>
      </c>
      <c r="E40" s="20"/>
      <c r="F40" s="19"/>
      <c r="G40" s="19">
        <f t="shared" si="12"/>
        <v>50500000</v>
      </c>
      <c r="H40" s="18"/>
      <c r="I40" s="18">
        <v>20056482</v>
      </c>
      <c r="J40" s="18"/>
      <c r="K40" s="18"/>
      <c r="L40" s="18"/>
      <c r="M40" s="18"/>
      <c r="N40" s="18"/>
      <c r="O40" s="18">
        <v>7343771</v>
      </c>
      <c r="P40" s="18"/>
      <c r="Q40" s="19">
        <f t="shared" si="13"/>
        <v>27400253</v>
      </c>
      <c r="R40" s="24"/>
      <c r="T40" s="52"/>
    </row>
    <row r="41" spans="1:20">
      <c r="A41" s="49">
        <v>30502180410</v>
      </c>
      <c r="B41" s="11" t="s">
        <v>60</v>
      </c>
      <c r="C41" s="20">
        <v>170268033</v>
      </c>
      <c r="D41" s="20"/>
      <c r="E41" s="20">
        <v>20000000</v>
      </c>
      <c r="F41" s="19"/>
      <c r="G41" s="19">
        <f t="shared" si="12"/>
        <v>150268033</v>
      </c>
      <c r="H41" s="18">
        <v>15653910</v>
      </c>
      <c r="I41" s="18">
        <v>10996279</v>
      </c>
      <c r="J41" s="18">
        <v>14442889</v>
      </c>
      <c r="K41" s="18">
        <v>11355963</v>
      </c>
      <c r="L41" s="18">
        <v>10856336</v>
      </c>
      <c r="M41" s="18">
        <v>11913436</v>
      </c>
      <c r="N41" s="18">
        <v>11112416</v>
      </c>
      <c r="O41" s="18">
        <v>10303025</v>
      </c>
      <c r="P41" s="18">
        <v>11798611</v>
      </c>
      <c r="Q41" s="19">
        <f t="shared" si="13"/>
        <v>108432865</v>
      </c>
      <c r="T41" s="52"/>
    </row>
    <row r="42" spans="1:20">
      <c r="A42" s="49">
        <v>30502180411</v>
      </c>
      <c r="B42" s="11" t="s">
        <v>61</v>
      </c>
      <c r="C42" s="20">
        <v>30000000</v>
      </c>
      <c r="D42" s="20"/>
      <c r="E42" s="20"/>
      <c r="F42" s="19"/>
      <c r="G42" s="19">
        <f t="shared" si="12"/>
        <v>30000000</v>
      </c>
      <c r="H42" s="18"/>
      <c r="I42" s="18"/>
      <c r="J42" s="18">
        <v>2673720</v>
      </c>
      <c r="K42" s="18">
        <v>537945</v>
      </c>
      <c r="L42" s="18">
        <v>1742814</v>
      </c>
      <c r="M42" s="18">
        <v>3217213</v>
      </c>
      <c r="N42" s="18">
        <v>3811604</v>
      </c>
      <c r="O42" s="18">
        <v>536450</v>
      </c>
      <c r="P42" s="18"/>
      <c r="Q42" s="19">
        <f t="shared" si="13"/>
        <v>12519746</v>
      </c>
      <c r="T42" s="52"/>
    </row>
    <row r="43" spans="1:20">
      <c r="A43" s="49">
        <v>30502180412</v>
      </c>
      <c r="B43" s="11" t="s">
        <v>62</v>
      </c>
      <c r="C43" s="20">
        <v>104774500</v>
      </c>
      <c r="D43" s="20"/>
      <c r="E43" s="20"/>
      <c r="F43" s="19"/>
      <c r="G43" s="19">
        <f t="shared" si="12"/>
        <v>104774500</v>
      </c>
      <c r="H43" s="18"/>
      <c r="I43" s="18">
        <v>98774500</v>
      </c>
      <c r="J43" s="18"/>
      <c r="K43" s="18"/>
      <c r="L43" s="18"/>
      <c r="M43" s="18"/>
      <c r="N43" s="18"/>
      <c r="O43" s="18"/>
      <c r="P43" s="18"/>
      <c r="Q43" s="19">
        <f t="shared" si="13"/>
        <v>98774500</v>
      </c>
      <c r="T43" s="52"/>
    </row>
    <row r="44" spans="1:20">
      <c r="A44" s="49">
        <v>30502180413</v>
      </c>
      <c r="B44" s="11" t="s">
        <v>63</v>
      </c>
      <c r="C44" s="20">
        <v>18000000</v>
      </c>
      <c r="D44" s="20"/>
      <c r="E44" s="20"/>
      <c r="F44" s="19"/>
      <c r="G44" s="19">
        <f t="shared" si="12"/>
        <v>18000000</v>
      </c>
      <c r="H44" s="18"/>
      <c r="I44" s="18"/>
      <c r="J44" s="18"/>
      <c r="K44" s="18">
        <v>10000000</v>
      </c>
      <c r="L44" s="18">
        <v>0</v>
      </c>
      <c r="M44" s="18"/>
      <c r="N44" s="18"/>
      <c r="O44" s="18"/>
      <c r="P44" s="18"/>
      <c r="Q44" s="19">
        <f t="shared" si="13"/>
        <v>10000000</v>
      </c>
      <c r="T44" s="52"/>
    </row>
    <row r="45" spans="1:20">
      <c r="A45" s="49">
        <v>30502180414</v>
      </c>
      <c r="B45" s="11" t="s">
        <v>64</v>
      </c>
      <c r="C45" s="20">
        <v>40000000</v>
      </c>
      <c r="D45" s="20"/>
      <c r="E45" s="20"/>
      <c r="F45" s="19"/>
      <c r="G45" s="19">
        <f t="shared" si="12"/>
        <v>40000000</v>
      </c>
      <c r="H45" s="18"/>
      <c r="I45" s="18"/>
      <c r="J45" s="18"/>
      <c r="K45" s="18"/>
      <c r="L45" s="18"/>
      <c r="M45" s="18"/>
      <c r="N45" s="18"/>
      <c r="O45" s="18"/>
      <c r="P45" s="18"/>
      <c r="Q45" s="19">
        <f t="shared" si="13"/>
        <v>0</v>
      </c>
      <c r="T45" s="52"/>
    </row>
    <row r="46" spans="1:20">
      <c r="A46" s="49">
        <v>30502180415</v>
      </c>
      <c r="B46" s="14" t="s">
        <v>86</v>
      </c>
      <c r="C46" s="20">
        <v>50000000</v>
      </c>
      <c r="D46" s="20"/>
      <c r="E46" s="20"/>
      <c r="F46" s="19"/>
      <c r="G46" s="19">
        <f t="shared" si="12"/>
        <v>50000000</v>
      </c>
      <c r="H46" s="18"/>
      <c r="I46" s="18"/>
      <c r="J46" s="18"/>
      <c r="K46" s="18"/>
      <c r="L46" s="18"/>
      <c r="M46" s="18"/>
      <c r="N46" s="18">
        <v>5400000</v>
      </c>
      <c r="O46" s="18"/>
      <c r="P46" s="18"/>
      <c r="Q46" s="19">
        <f t="shared" si="13"/>
        <v>5400000</v>
      </c>
      <c r="T46" s="52"/>
    </row>
    <row r="47" spans="1:20">
      <c r="A47" s="49">
        <v>30502180416</v>
      </c>
      <c r="B47" s="11" t="s">
        <v>65</v>
      </c>
      <c r="C47" s="20">
        <v>1000000</v>
      </c>
      <c r="D47" s="20">
        <v>100000</v>
      </c>
      <c r="E47" s="20"/>
      <c r="F47" s="19"/>
      <c r="G47" s="19">
        <f t="shared" si="12"/>
        <v>1100000</v>
      </c>
      <c r="H47" s="18"/>
      <c r="I47" s="18"/>
      <c r="J47" s="18"/>
      <c r="K47" s="18"/>
      <c r="L47" s="18"/>
      <c r="M47" s="18"/>
      <c r="N47" s="18"/>
      <c r="O47" s="18"/>
      <c r="P47" s="18"/>
      <c r="Q47" s="19">
        <f t="shared" si="13"/>
        <v>0</v>
      </c>
      <c r="T47" s="52"/>
    </row>
    <row r="48" spans="1:20">
      <c r="A48" s="11"/>
      <c r="B48" s="11" t="s">
        <v>66</v>
      </c>
      <c r="C48" s="20"/>
      <c r="D48" s="20"/>
      <c r="E48" s="20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T48" s="52"/>
    </row>
    <row r="49" spans="1:20">
      <c r="A49" s="11"/>
      <c r="B49" s="11" t="s">
        <v>67</v>
      </c>
      <c r="C49" s="16">
        <f t="shared" ref="C49:G49" si="16">SUM(C50:C53)</f>
        <v>723000000</v>
      </c>
      <c r="D49" s="16">
        <f t="shared" si="16"/>
        <v>0</v>
      </c>
      <c r="E49" s="16">
        <f t="shared" si="16"/>
        <v>0</v>
      </c>
      <c r="F49" s="16">
        <f t="shared" si="16"/>
        <v>0</v>
      </c>
      <c r="G49" s="16">
        <f t="shared" si="16"/>
        <v>723000000</v>
      </c>
      <c r="H49" s="16">
        <f>SUM(H50:H53)</f>
        <v>31153460</v>
      </c>
      <c r="I49" s="16">
        <f t="shared" ref="I49:Q49" si="17">SUM(I50:I53)</f>
        <v>143513572</v>
      </c>
      <c r="J49" s="16">
        <f t="shared" si="17"/>
        <v>78809745</v>
      </c>
      <c r="K49" s="16">
        <f t="shared" si="17"/>
        <v>17702972</v>
      </c>
      <c r="L49" s="16">
        <f t="shared" si="17"/>
        <v>72986407</v>
      </c>
      <c r="M49" s="16">
        <f>SUM(M50:M53)</f>
        <v>35134282</v>
      </c>
      <c r="N49" s="16">
        <f>SUM(N50:N53)</f>
        <v>22058266</v>
      </c>
      <c r="O49" s="16">
        <f>SUM(O50:O53)</f>
        <v>5504998</v>
      </c>
      <c r="P49" s="16">
        <f>SUM(P50:P53)</f>
        <v>5504998</v>
      </c>
      <c r="Q49" s="59">
        <f t="shared" si="17"/>
        <v>412368700</v>
      </c>
      <c r="T49" s="52"/>
    </row>
    <row r="50" spans="1:20">
      <c r="A50" s="49">
        <v>30503180401</v>
      </c>
      <c r="B50" s="11" t="s">
        <v>68</v>
      </c>
      <c r="C50" s="20">
        <v>100000000</v>
      </c>
      <c r="D50" s="20"/>
      <c r="E50" s="20"/>
      <c r="F50" s="19"/>
      <c r="G50" s="19">
        <f t="shared" ref="G50:G57" si="18">C50+D50-E50+F50</f>
        <v>100000000</v>
      </c>
      <c r="H50" s="18">
        <v>5504998</v>
      </c>
      <c r="I50" s="18">
        <v>5504998</v>
      </c>
      <c r="J50" s="18">
        <v>9029595</v>
      </c>
      <c r="K50" s="18">
        <v>6242715</v>
      </c>
      <c r="L50" s="18">
        <v>5504998</v>
      </c>
      <c r="M50" s="18">
        <v>11009996</v>
      </c>
      <c r="N50" s="18">
        <v>5504998</v>
      </c>
      <c r="O50" s="18">
        <v>5504998</v>
      </c>
      <c r="P50" s="18">
        <v>5504998</v>
      </c>
      <c r="Q50" s="19">
        <f t="shared" ref="Q50:Q56" si="19">H50+I50+J50+K50+L50+M50+N50+O50+P50</f>
        <v>59312294</v>
      </c>
      <c r="T50" s="52"/>
    </row>
    <row r="51" spans="1:20">
      <c r="A51" s="49">
        <v>30503180402</v>
      </c>
      <c r="B51" s="11" t="s">
        <v>69</v>
      </c>
      <c r="C51" s="20">
        <v>1000000</v>
      </c>
      <c r="D51" s="20"/>
      <c r="E51" s="20"/>
      <c r="F51" s="19"/>
      <c r="G51" s="19">
        <f t="shared" si="18"/>
        <v>1000000</v>
      </c>
      <c r="H51" s="18"/>
      <c r="I51" s="18"/>
      <c r="J51" s="18"/>
      <c r="K51" s="18"/>
      <c r="L51" s="18"/>
      <c r="M51" s="18"/>
      <c r="N51" s="18"/>
      <c r="O51" s="18"/>
      <c r="P51" s="18"/>
      <c r="Q51" s="19">
        <f t="shared" si="19"/>
        <v>0</v>
      </c>
      <c r="T51" s="52"/>
    </row>
    <row r="52" spans="1:20">
      <c r="A52" s="49">
        <v>30503180403</v>
      </c>
      <c r="B52" s="11" t="s">
        <v>70</v>
      </c>
      <c r="C52" s="20">
        <v>600000000</v>
      </c>
      <c r="D52" s="20"/>
      <c r="E52" s="20"/>
      <c r="F52" s="19"/>
      <c r="G52" s="19">
        <f t="shared" si="18"/>
        <v>600000000</v>
      </c>
      <c r="H52" s="18">
        <v>5000000</v>
      </c>
      <c r="I52" s="18">
        <v>138008574</v>
      </c>
      <c r="J52" s="18">
        <v>69780150</v>
      </c>
      <c r="K52" s="18">
        <v>11460257</v>
      </c>
      <c r="L52" s="18">
        <v>67481409</v>
      </c>
      <c r="M52" s="18">
        <v>24124286</v>
      </c>
      <c r="N52" s="18">
        <v>16449530</v>
      </c>
      <c r="O52" s="18"/>
      <c r="P52" s="18"/>
      <c r="Q52" s="19">
        <f t="shared" si="19"/>
        <v>332304206</v>
      </c>
      <c r="T52" s="52"/>
    </row>
    <row r="53" spans="1:20">
      <c r="A53" s="49">
        <v>30503180404</v>
      </c>
      <c r="B53" s="11" t="s">
        <v>71</v>
      </c>
      <c r="C53" s="20">
        <v>22000000</v>
      </c>
      <c r="D53" s="20"/>
      <c r="E53" s="20"/>
      <c r="F53" s="19"/>
      <c r="G53" s="19">
        <f t="shared" si="18"/>
        <v>22000000</v>
      </c>
      <c r="H53" s="18">
        <v>20648462</v>
      </c>
      <c r="I53" s="18"/>
      <c r="J53" s="18"/>
      <c r="K53" s="18"/>
      <c r="L53" s="18"/>
      <c r="M53" s="18"/>
      <c r="N53" s="18">
        <v>103738</v>
      </c>
      <c r="O53" s="18"/>
      <c r="P53" s="18"/>
      <c r="Q53" s="19">
        <f t="shared" si="19"/>
        <v>20752200</v>
      </c>
      <c r="T53" s="52"/>
    </row>
    <row r="54" spans="1:20">
      <c r="A54" s="11"/>
      <c r="B54" s="11" t="s">
        <v>72</v>
      </c>
      <c r="C54" s="20">
        <f>SUM(C55:C57)</f>
        <v>275000000</v>
      </c>
      <c r="D54" s="20"/>
      <c r="E54" s="20"/>
      <c r="F54" s="20">
        <f t="shared" ref="F54:Q54" si="20">SUM(F55:F57)</f>
        <v>0</v>
      </c>
      <c r="G54" s="19">
        <f t="shared" si="18"/>
        <v>275000000</v>
      </c>
      <c r="H54" s="27">
        <f t="shared" si="20"/>
        <v>1527860</v>
      </c>
      <c r="I54" s="27">
        <f t="shared" si="20"/>
        <v>1235232</v>
      </c>
      <c r="J54" s="27">
        <f t="shared" si="20"/>
        <v>4730796</v>
      </c>
      <c r="K54" s="27">
        <f t="shared" si="20"/>
        <v>34036587</v>
      </c>
      <c r="L54" s="27">
        <f t="shared" si="20"/>
        <v>9121334</v>
      </c>
      <c r="M54" s="27">
        <f t="shared" si="20"/>
        <v>17815247</v>
      </c>
      <c r="N54" s="27">
        <f t="shared" si="20"/>
        <v>634571</v>
      </c>
      <c r="O54" s="27">
        <f t="shared" si="20"/>
        <v>45628965</v>
      </c>
      <c r="P54" s="27">
        <f t="shared" si="20"/>
        <v>8384557</v>
      </c>
      <c r="Q54" s="60">
        <f t="shared" si="20"/>
        <v>123115149</v>
      </c>
      <c r="T54" s="52"/>
    </row>
    <row r="55" spans="1:20">
      <c r="A55" s="49">
        <v>30503180405</v>
      </c>
      <c r="B55" s="11" t="s">
        <v>73</v>
      </c>
      <c r="C55" s="20">
        <v>30000000</v>
      </c>
      <c r="D55" s="20"/>
      <c r="E55" s="20"/>
      <c r="F55" s="19"/>
      <c r="G55" s="19">
        <f t="shared" si="18"/>
        <v>30000000</v>
      </c>
      <c r="H55" s="18"/>
      <c r="I55" s="18"/>
      <c r="J55" s="18"/>
      <c r="K55" s="18"/>
      <c r="L55" s="18"/>
      <c r="M55" s="18"/>
      <c r="N55" s="18"/>
      <c r="O55" s="18">
        <v>14800000</v>
      </c>
      <c r="P55" s="18"/>
      <c r="Q55" s="19">
        <f t="shared" si="19"/>
        <v>14800000</v>
      </c>
      <c r="T55" s="52"/>
    </row>
    <row r="56" spans="1:20">
      <c r="A56" s="49">
        <v>30503180406</v>
      </c>
      <c r="B56" s="11" t="s">
        <v>74</v>
      </c>
      <c r="C56" s="20">
        <v>85000000</v>
      </c>
      <c r="D56" s="20"/>
      <c r="E56" s="20"/>
      <c r="F56" s="19"/>
      <c r="G56" s="19">
        <f t="shared" si="18"/>
        <v>85000000</v>
      </c>
      <c r="H56" s="18"/>
      <c r="I56" s="18"/>
      <c r="J56" s="18"/>
      <c r="K56" s="18">
        <v>0</v>
      </c>
      <c r="L56" s="18">
        <v>4380000</v>
      </c>
      <c r="M56" s="18"/>
      <c r="N56" s="18"/>
      <c r="O56" s="18">
        <v>9568327</v>
      </c>
      <c r="P56" s="18"/>
      <c r="Q56" s="19">
        <f t="shared" si="19"/>
        <v>13948327</v>
      </c>
      <c r="T56" s="52"/>
    </row>
    <row r="57" spans="1:20">
      <c r="A57" s="49">
        <v>30503180407</v>
      </c>
      <c r="B57" s="11" t="s">
        <v>75</v>
      </c>
      <c r="C57" s="20">
        <v>160000000</v>
      </c>
      <c r="D57" s="20"/>
      <c r="E57" s="20"/>
      <c r="F57" s="19"/>
      <c r="G57" s="19">
        <f t="shared" si="18"/>
        <v>160000000</v>
      </c>
      <c r="H57" s="18">
        <v>1527860</v>
      </c>
      <c r="I57" s="18">
        <v>1235232</v>
      </c>
      <c r="J57" s="18">
        <v>4730796</v>
      </c>
      <c r="K57" s="18">
        <v>34036587</v>
      </c>
      <c r="L57" s="18">
        <v>4741334</v>
      </c>
      <c r="M57" s="18">
        <v>17815247</v>
      </c>
      <c r="N57" s="18">
        <v>634571</v>
      </c>
      <c r="O57" s="18">
        <v>21260638</v>
      </c>
      <c r="P57" s="18">
        <v>8384557</v>
      </c>
      <c r="Q57" s="19">
        <f>H57+I57+J57+K57+L57+M57+N57+O57+P57</f>
        <v>94366822</v>
      </c>
      <c r="T57" s="52"/>
    </row>
    <row r="58" spans="1:20" ht="18.75">
      <c r="A58" s="11"/>
      <c r="B58" s="22" t="s">
        <v>76</v>
      </c>
      <c r="C58" s="21">
        <f>C5+C17+C22+C30+C37+C49+C54</f>
        <v>8962000000</v>
      </c>
      <c r="D58" s="21">
        <f t="shared" ref="D58:G58" si="21">D5+D17+D22+D30+D37+D49+D54</f>
        <v>142300000</v>
      </c>
      <c r="E58" s="21">
        <f t="shared" si="21"/>
        <v>142300000</v>
      </c>
      <c r="F58" s="21">
        <f t="shared" si="21"/>
        <v>0</v>
      </c>
      <c r="G58" s="21">
        <f t="shared" si="21"/>
        <v>8962000000</v>
      </c>
      <c r="H58" s="21">
        <f t="shared" ref="H58:Q58" si="22">H5+H17+H22+H30+H37+H49+H54</f>
        <v>460727747</v>
      </c>
      <c r="I58" s="21">
        <f t="shared" si="22"/>
        <v>677525668</v>
      </c>
      <c r="J58" s="21">
        <f t="shared" si="22"/>
        <v>648390493</v>
      </c>
      <c r="K58" s="21">
        <f t="shared" si="22"/>
        <v>500857683</v>
      </c>
      <c r="L58" s="21">
        <f t="shared" si="22"/>
        <v>590434042</v>
      </c>
      <c r="M58" s="21">
        <f t="shared" si="22"/>
        <v>634767876</v>
      </c>
      <c r="N58" s="21">
        <f t="shared" si="22"/>
        <v>756950419</v>
      </c>
      <c r="O58" s="21">
        <f t="shared" si="22"/>
        <v>461597612</v>
      </c>
      <c r="P58" s="21">
        <f t="shared" si="22"/>
        <v>392579570</v>
      </c>
      <c r="Q58" s="21">
        <f t="shared" si="22"/>
        <v>5123831110</v>
      </c>
      <c r="T58" s="52"/>
    </row>
    <row r="59" spans="1:20" ht="18.75">
      <c r="A59" s="11"/>
      <c r="B59" s="15" t="s">
        <v>11</v>
      </c>
      <c r="C59" s="19">
        <v>0</v>
      </c>
      <c r="D59" s="19"/>
      <c r="E59" s="1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T59" s="52"/>
    </row>
    <row r="60" spans="1:20">
      <c r="A60" s="49">
        <v>305061804</v>
      </c>
      <c r="B60" s="11" t="s">
        <v>77</v>
      </c>
      <c r="C60" s="19">
        <v>0</v>
      </c>
      <c r="D60" s="19"/>
      <c r="E60" s="19"/>
      <c r="F60" s="19"/>
      <c r="G60" s="19">
        <f t="shared" ref="G60:G62" si="23">C60+D60-E60+F60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9">
        <f t="shared" ref="Q60:Q62" si="24">H60+I60+J60+K60+L60+M60+N60+O60+P60</f>
        <v>0</v>
      </c>
      <c r="R60" s="24"/>
      <c r="T60" s="52"/>
    </row>
    <row r="61" spans="1:20">
      <c r="A61" s="49">
        <v>30506180401</v>
      </c>
      <c r="B61" s="11" t="s">
        <v>78</v>
      </c>
      <c r="C61" s="19">
        <v>0</v>
      </c>
      <c r="D61" s="19"/>
      <c r="E61" s="19"/>
      <c r="F61" s="19"/>
      <c r="G61" s="19">
        <f t="shared" si="23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9">
        <f t="shared" si="24"/>
        <v>0</v>
      </c>
      <c r="T61" s="52"/>
    </row>
    <row r="62" spans="1:20">
      <c r="A62" s="49">
        <v>30506180402</v>
      </c>
      <c r="B62" s="11" t="s">
        <v>79</v>
      </c>
      <c r="C62" s="19">
        <v>0</v>
      </c>
      <c r="D62" s="19"/>
      <c r="E62" s="19"/>
      <c r="F62" s="19"/>
      <c r="G62" s="19">
        <f t="shared" si="23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9">
        <f t="shared" si="24"/>
        <v>0</v>
      </c>
      <c r="T62" s="52"/>
    </row>
    <row r="63" spans="1:20" ht="18.75">
      <c r="A63" s="11"/>
      <c r="B63" s="22" t="s">
        <v>80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T63" s="52"/>
    </row>
    <row r="64" spans="1:20" ht="18.75">
      <c r="A64" s="11"/>
      <c r="B64" s="15" t="s">
        <v>81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T64" s="52"/>
    </row>
    <row r="65" spans="1:20">
      <c r="A65" s="49">
        <v>30507180401</v>
      </c>
      <c r="B65" s="11" t="s">
        <v>82</v>
      </c>
      <c r="C65" s="4">
        <v>400000000</v>
      </c>
      <c r="D65" s="4"/>
      <c r="E65" s="4"/>
      <c r="F65" s="14"/>
      <c r="G65" s="19">
        <f t="shared" ref="G65:G69" si="25">C65+D65-E65+F65</f>
        <v>400000000</v>
      </c>
      <c r="H65" s="4"/>
      <c r="I65" s="4"/>
      <c r="J65" s="4"/>
      <c r="K65" s="4"/>
      <c r="L65" s="4"/>
      <c r="M65" s="4"/>
      <c r="N65" s="4"/>
      <c r="O65" s="4"/>
      <c r="P65" s="4"/>
      <c r="Q65" s="19">
        <f t="shared" ref="Q65:Q69" si="26">H65+I65+J65+K65+L65+M65+N65+O65+P65</f>
        <v>0</v>
      </c>
      <c r="T65" s="52"/>
    </row>
    <row r="66" spans="1:20">
      <c r="A66" s="49">
        <v>30507180402</v>
      </c>
      <c r="B66" s="11" t="s">
        <v>15</v>
      </c>
      <c r="C66" s="4">
        <v>881700000</v>
      </c>
      <c r="D66" s="4"/>
      <c r="E66" s="4"/>
      <c r="F66" s="14"/>
      <c r="G66" s="19">
        <f t="shared" si="25"/>
        <v>881700000</v>
      </c>
      <c r="H66" s="4"/>
      <c r="I66" s="4"/>
      <c r="J66" s="4">
        <v>7800000</v>
      </c>
      <c r="K66" s="4">
        <v>22500000</v>
      </c>
      <c r="L66" s="4">
        <v>0</v>
      </c>
      <c r="M66" s="18">
        <v>7800000</v>
      </c>
      <c r="N66" s="18">
        <v>39139999</v>
      </c>
      <c r="O66" s="18">
        <v>85758918</v>
      </c>
      <c r="P66" s="18"/>
      <c r="Q66" s="19">
        <f t="shared" si="26"/>
        <v>162998917</v>
      </c>
      <c r="T66" s="52"/>
    </row>
    <row r="67" spans="1:20">
      <c r="A67" s="49">
        <v>30507180403</v>
      </c>
      <c r="B67" s="11" t="s">
        <v>16</v>
      </c>
      <c r="C67" s="4">
        <v>370000000</v>
      </c>
      <c r="D67" s="4"/>
      <c r="E67" s="4"/>
      <c r="F67" s="14"/>
      <c r="G67" s="19">
        <f t="shared" si="25"/>
        <v>370000000</v>
      </c>
      <c r="H67" s="4"/>
      <c r="I67" s="4"/>
      <c r="J67" s="4"/>
      <c r="K67" s="4"/>
      <c r="L67" s="4"/>
      <c r="M67" s="18"/>
      <c r="N67" s="18"/>
      <c r="O67" s="18"/>
      <c r="P67" s="18"/>
      <c r="Q67" s="19">
        <f t="shared" si="26"/>
        <v>0</v>
      </c>
      <c r="T67" s="52"/>
    </row>
    <row r="68" spans="1:20">
      <c r="A68" s="49">
        <v>30507180404</v>
      </c>
      <c r="B68" s="11" t="s">
        <v>12</v>
      </c>
      <c r="C68" s="4">
        <v>1082500000</v>
      </c>
      <c r="D68" s="4"/>
      <c r="E68" s="4"/>
      <c r="F68" s="14"/>
      <c r="G68" s="19">
        <f t="shared" si="25"/>
        <v>1082500000</v>
      </c>
      <c r="H68" s="4"/>
      <c r="I68" s="4"/>
      <c r="J68" s="4"/>
      <c r="K68" s="4"/>
      <c r="L68" s="4"/>
      <c r="M68" s="18"/>
      <c r="N68" s="18">
        <v>6491450</v>
      </c>
      <c r="O68" s="18"/>
      <c r="P68" s="18">
        <v>10620750</v>
      </c>
      <c r="Q68" s="19">
        <f t="shared" si="26"/>
        <v>17112200</v>
      </c>
      <c r="T68" s="52"/>
    </row>
    <row r="69" spans="1:20">
      <c r="A69" s="49">
        <v>30507180405</v>
      </c>
      <c r="B69" s="11" t="s">
        <v>17</v>
      </c>
      <c r="C69" s="4">
        <v>556800000</v>
      </c>
      <c r="D69" s="4"/>
      <c r="E69" s="4"/>
      <c r="F69" s="14"/>
      <c r="G69" s="19">
        <f t="shared" si="25"/>
        <v>556800000</v>
      </c>
      <c r="H69" s="18">
        <v>673955</v>
      </c>
      <c r="I69" s="18">
        <v>4500000</v>
      </c>
      <c r="J69" s="18">
        <v>39900000</v>
      </c>
      <c r="K69" s="18">
        <v>0</v>
      </c>
      <c r="L69" s="18">
        <v>4500000</v>
      </c>
      <c r="M69" s="18">
        <v>39900000</v>
      </c>
      <c r="N69" s="18"/>
      <c r="O69" s="18">
        <v>15831450</v>
      </c>
      <c r="P69" s="18">
        <v>48706666</v>
      </c>
      <c r="Q69" s="19">
        <f t="shared" si="26"/>
        <v>154012071</v>
      </c>
      <c r="T69" s="52"/>
    </row>
    <row r="70" spans="1:20" ht="18.75">
      <c r="A70" s="11"/>
      <c r="B70" s="22" t="s">
        <v>83</v>
      </c>
      <c r="C70" s="21">
        <f>SUM(C65:C69)</f>
        <v>3291000000</v>
      </c>
      <c r="D70" s="21">
        <f t="shared" ref="D70:G70" si="27">SUM(D65:D69)</f>
        <v>0</v>
      </c>
      <c r="E70" s="21">
        <f t="shared" si="27"/>
        <v>0</v>
      </c>
      <c r="F70" s="21">
        <f t="shared" si="27"/>
        <v>0</v>
      </c>
      <c r="G70" s="21">
        <f t="shared" si="27"/>
        <v>3291000000</v>
      </c>
      <c r="H70" s="21">
        <f>SUM(H65:H69)</f>
        <v>673955</v>
      </c>
      <c r="I70" s="21">
        <f t="shared" ref="I70:P70" si="28">SUM(I65:I69)</f>
        <v>4500000</v>
      </c>
      <c r="J70" s="21">
        <f t="shared" si="28"/>
        <v>47700000</v>
      </c>
      <c r="K70" s="21">
        <f t="shared" si="28"/>
        <v>22500000</v>
      </c>
      <c r="L70" s="21">
        <f t="shared" si="28"/>
        <v>4500000</v>
      </c>
      <c r="M70" s="21">
        <f t="shared" si="28"/>
        <v>47700000</v>
      </c>
      <c r="N70" s="21">
        <f t="shared" si="28"/>
        <v>45631449</v>
      </c>
      <c r="O70" s="21">
        <f t="shared" si="28"/>
        <v>101590368</v>
      </c>
      <c r="P70" s="21">
        <f t="shared" si="28"/>
        <v>59327416</v>
      </c>
      <c r="Q70" s="21">
        <f>SUM(Q65:Q69)</f>
        <v>334123188</v>
      </c>
      <c r="T70" s="52"/>
    </row>
    <row r="71" spans="1:20" ht="22.5">
      <c r="A71" s="65" t="s">
        <v>84</v>
      </c>
      <c r="B71" s="65"/>
      <c r="C71" s="23">
        <f>C58+C63+C70</f>
        <v>12253000000</v>
      </c>
      <c r="D71" s="23">
        <f t="shared" ref="D71:G71" si="29">D58+D63+D70</f>
        <v>142300000</v>
      </c>
      <c r="E71" s="23">
        <f t="shared" si="29"/>
        <v>142300000</v>
      </c>
      <c r="F71" s="23">
        <f t="shared" si="29"/>
        <v>0</v>
      </c>
      <c r="G71" s="23">
        <f t="shared" si="29"/>
        <v>12253000000</v>
      </c>
      <c r="H71" s="23">
        <f t="shared" ref="H71:L71" si="30">H58+H63+H70</f>
        <v>461401702</v>
      </c>
      <c r="I71" s="23">
        <f t="shared" si="30"/>
        <v>682025668</v>
      </c>
      <c r="J71" s="23">
        <f t="shared" si="30"/>
        <v>696090493</v>
      </c>
      <c r="K71" s="23">
        <f t="shared" si="30"/>
        <v>523357683</v>
      </c>
      <c r="L71" s="23">
        <f t="shared" si="30"/>
        <v>594934042</v>
      </c>
      <c r="M71" s="23">
        <f>M58+M63+M70</f>
        <v>682467876</v>
      </c>
      <c r="N71" s="23">
        <f>N58+N63+N70</f>
        <v>802581868</v>
      </c>
      <c r="O71" s="23">
        <f>O58+O63+O70</f>
        <v>563187980</v>
      </c>
      <c r="P71" s="23">
        <f>P58+P63+P70</f>
        <v>451906986</v>
      </c>
      <c r="Q71" s="23">
        <f>Q58+Q63+Q70</f>
        <v>5457954298</v>
      </c>
      <c r="T71" s="52"/>
    </row>
    <row r="72" spans="1:20">
      <c r="M72" s="24"/>
      <c r="N72" s="24"/>
      <c r="O72" s="24"/>
      <c r="P72" s="24"/>
      <c r="Q72" s="24"/>
      <c r="T72" s="52"/>
    </row>
    <row r="73" spans="1:20">
      <c r="Q73" s="24"/>
      <c r="T73" s="52"/>
    </row>
    <row r="74" spans="1:20">
      <c r="T74" s="52"/>
    </row>
    <row r="75" spans="1:20">
      <c r="C75" s="25"/>
      <c r="D75" s="25"/>
      <c r="E75" s="25"/>
      <c r="I75" s="24"/>
      <c r="J75" s="24"/>
      <c r="K75" s="24"/>
      <c r="L75" s="24"/>
      <c r="M75" s="24"/>
      <c r="N75" s="24"/>
      <c r="O75" s="24"/>
      <c r="P75" s="24"/>
      <c r="T75" s="52"/>
    </row>
    <row r="76" spans="1:20">
      <c r="T76" s="52"/>
    </row>
    <row r="77" spans="1:20">
      <c r="T77" s="52"/>
    </row>
    <row r="78" spans="1:20">
      <c r="B78" s="50"/>
      <c r="C78" s="51"/>
      <c r="D78" s="54"/>
      <c r="E78" s="54"/>
      <c r="F78" s="51"/>
      <c r="G78" s="51"/>
      <c r="H78" s="51"/>
      <c r="I78" s="51"/>
      <c r="J78" s="51"/>
      <c r="T78" s="52"/>
    </row>
    <row r="79" spans="1:20">
      <c r="C79" s="52"/>
      <c r="D79" s="52"/>
      <c r="E79" s="52"/>
      <c r="F79" s="52"/>
      <c r="G79" s="52"/>
      <c r="H79" s="53"/>
      <c r="I79" s="52"/>
      <c r="J79" s="24"/>
      <c r="T79" s="52"/>
    </row>
    <row r="80" spans="1:20">
      <c r="C80" s="52"/>
      <c r="D80" s="52"/>
      <c r="E80" s="52"/>
      <c r="F80" s="52"/>
      <c r="G80" s="52"/>
      <c r="H80" s="53"/>
      <c r="I80" s="52"/>
      <c r="J80" s="24"/>
      <c r="T80" s="52"/>
    </row>
    <row r="81" spans="3:20">
      <c r="C81" s="52"/>
      <c r="D81" s="52"/>
      <c r="E81" s="52"/>
      <c r="F81" s="52"/>
      <c r="G81" s="52"/>
      <c r="H81" s="53"/>
      <c r="I81" s="52"/>
      <c r="J81" s="24"/>
      <c r="T81" s="52"/>
    </row>
    <row r="82" spans="3:20">
      <c r="C82" s="52"/>
      <c r="D82" s="52"/>
      <c r="E82" s="52"/>
      <c r="F82" s="52"/>
      <c r="G82" s="52"/>
      <c r="H82" s="53"/>
      <c r="I82" s="52"/>
      <c r="J82" s="24"/>
      <c r="T82" s="52"/>
    </row>
    <row r="83" spans="3:20">
      <c r="C83" s="52"/>
      <c r="D83" s="52"/>
      <c r="E83" s="52"/>
      <c r="F83" s="52"/>
      <c r="G83" s="52"/>
      <c r="H83" s="53"/>
      <c r="I83" s="52"/>
      <c r="J83" s="24"/>
      <c r="T83" s="52"/>
    </row>
    <row r="84" spans="3:20">
      <c r="C84" s="52"/>
      <c r="D84" s="52"/>
      <c r="E84" s="52"/>
      <c r="F84" s="52"/>
      <c r="G84" s="52"/>
      <c r="H84" s="53"/>
      <c r="I84" s="52"/>
      <c r="J84" s="24"/>
      <c r="T84" s="52"/>
    </row>
    <row r="85" spans="3:20">
      <c r="T85" s="52"/>
    </row>
    <row r="86" spans="3:20">
      <c r="T86" s="52"/>
    </row>
    <row r="87" spans="3:20">
      <c r="T87" s="52"/>
    </row>
    <row r="88" spans="3:20">
      <c r="T88" s="24"/>
    </row>
  </sheetData>
  <mergeCells count="17">
    <mergeCell ref="P1:P2"/>
    <mergeCell ref="Q1:Q2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A71:B71"/>
    <mergeCell ref="F1:F2"/>
    <mergeCell ref="G1:G2"/>
    <mergeCell ref="H1:H2"/>
    <mergeCell ref="I1:I2"/>
    <mergeCell ref="D1:E1"/>
  </mergeCells>
  <pageMargins left="3.22" right="0.7" top="0.75" bottom="0.75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activeCell="M62" sqref="M62"/>
    </sheetView>
  </sheetViews>
  <sheetFormatPr baseColWidth="10" defaultRowHeight="12.75"/>
  <cols>
    <col min="1" max="1" width="8.28515625" style="34" customWidth="1"/>
    <col min="2" max="2" width="32.28515625" style="34" bestFit="1" customWidth="1"/>
    <col min="3" max="3" width="12.85546875" style="34" customWidth="1"/>
    <col min="4" max="4" width="13" style="34" bestFit="1" customWidth="1"/>
    <col min="5" max="5" width="14.85546875" style="34" bestFit="1" customWidth="1"/>
    <col min="6" max="6" width="13.28515625" style="34" bestFit="1" customWidth="1"/>
    <col min="7" max="7" width="12.5703125" style="34" bestFit="1" customWidth="1"/>
    <col min="8" max="8" width="12.28515625" style="34" bestFit="1" customWidth="1"/>
    <col min="9" max="9" width="12.42578125" style="34" bestFit="1" customWidth="1"/>
    <col min="10" max="12" width="11.42578125" style="34" customWidth="1"/>
    <col min="13" max="13" width="14.42578125" style="34" customWidth="1"/>
    <col min="14" max="14" width="15.42578125" style="45" customWidth="1"/>
    <col min="15" max="15" width="15.5703125" style="45" customWidth="1"/>
    <col min="16" max="16384" width="11.42578125" style="34"/>
  </cols>
  <sheetData>
    <row r="1" spans="1:13" ht="15" customHeight="1">
      <c r="A1" s="66" t="s">
        <v>87</v>
      </c>
      <c r="B1" s="66" t="s">
        <v>88</v>
      </c>
      <c r="C1" s="66" t="s">
        <v>180</v>
      </c>
      <c r="D1" s="71" t="s">
        <v>193</v>
      </c>
      <c r="E1" s="71" t="s">
        <v>194</v>
      </c>
      <c r="F1" s="71" t="s">
        <v>195</v>
      </c>
      <c r="G1" s="71" t="s">
        <v>196</v>
      </c>
      <c r="H1" s="71" t="s">
        <v>197</v>
      </c>
      <c r="I1" s="71" t="s">
        <v>198</v>
      </c>
      <c r="J1" s="71" t="s">
        <v>201</v>
      </c>
      <c r="K1" s="71" t="s">
        <v>207</v>
      </c>
      <c r="L1" s="71" t="s">
        <v>210</v>
      </c>
      <c r="M1" s="71" t="s">
        <v>211</v>
      </c>
    </row>
    <row r="2" spans="1:13" ht="12.75" customHeight="1">
      <c r="A2" s="67"/>
      <c r="B2" s="67"/>
      <c r="C2" s="67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>
      <c r="A3" s="28">
        <v>1.1000000000000001</v>
      </c>
      <c r="B3" s="29" t="s">
        <v>2</v>
      </c>
      <c r="C3" s="41">
        <f>SUM(C4)</f>
        <v>1430000000</v>
      </c>
      <c r="D3" s="41">
        <f t="shared" ref="D3:I3" si="0">SUM(D4)</f>
        <v>47700000</v>
      </c>
      <c r="E3" s="41">
        <f t="shared" si="0"/>
        <v>95923000</v>
      </c>
      <c r="F3" s="41">
        <f t="shared" si="0"/>
        <v>250800000</v>
      </c>
      <c r="G3" s="41">
        <f t="shared" si="0"/>
        <v>204000000</v>
      </c>
      <c r="H3" s="41">
        <f t="shared" si="0"/>
        <v>211000000</v>
      </c>
      <c r="I3" s="41">
        <f t="shared" si="0"/>
        <v>210000000</v>
      </c>
      <c r="J3" s="41">
        <f>SUM(J4)</f>
        <v>74636131</v>
      </c>
      <c r="K3" s="41">
        <f t="shared" ref="K3:L3" si="1">SUM(K4)</f>
        <v>249462268</v>
      </c>
      <c r="L3" s="41">
        <f t="shared" si="1"/>
        <v>11360000</v>
      </c>
      <c r="M3" s="41">
        <f>+D3+E3+F3+G3+H3+I3+J3+K3+L3</f>
        <v>1354881399</v>
      </c>
    </row>
    <row r="4" spans="1:13">
      <c r="A4" s="30" t="s">
        <v>89</v>
      </c>
      <c r="B4" s="31" t="s">
        <v>90</v>
      </c>
      <c r="C4" s="42">
        <v>1430000000</v>
      </c>
      <c r="D4" s="42">
        <v>47700000</v>
      </c>
      <c r="E4" s="42">
        <v>95923000</v>
      </c>
      <c r="F4" s="42">
        <v>250800000</v>
      </c>
      <c r="G4" s="42">
        <v>204000000</v>
      </c>
      <c r="H4" s="42">
        <v>211000000</v>
      </c>
      <c r="I4" s="46">
        <v>210000000</v>
      </c>
      <c r="J4" s="46">
        <v>74636131</v>
      </c>
      <c r="K4" s="46">
        <f>236412668+1746200+1147800+539400+1245800+882000+1184800+5469200+59000+775400</f>
        <v>249462268</v>
      </c>
      <c r="L4" s="46">
        <f>8400+750000+1247800+342600+382400+1036400+170800+558200+296400+1323000+1405400+407000+1768200+790400+264000+300200+162200+146600</f>
        <v>11360000</v>
      </c>
      <c r="M4" s="42">
        <f>+D4+E4+F4+G4+H4+I4+J4+K4+L4</f>
        <v>1354881399</v>
      </c>
    </row>
    <row r="5" spans="1:13">
      <c r="A5" s="28">
        <v>1.2</v>
      </c>
      <c r="B5" s="29" t="s">
        <v>3</v>
      </c>
      <c r="C5" s="41">
        <f>SUM(C6:C46)</f>
        <v>7800000000</v>
      </c>
      <c r="D5" s="41">
        <f t="shared" ref="D5:M5" si="2">SUM(D6:D46)</f>
        <v>354810046</v>
      </c>
      <c r="E5" s="41">
        <f t="shared" si="2"/>
        <v>423254019</v>
      </c>
      <c r="F5" s="41">
        <f t="shared" si="2"/>
        <v>304121901</v>
      </c>
      <c r="G5" s="41">
        <f t="shared" si="2"/>
        <v>242967303</v>
      </c>
      <c r="H5" s="41">
        <f t="shared" si="2"/>
        <v>251840511</v>
      </c>
      <c r="I5" s="41">
        <f t="shared" si="2"/>
        <v>213119412</v>
      </c>
      <c r="J5" s="41">
        <f t="shared" si="2"/>
        <v>218250560</v>
      </c>
      <c r="K5" s="41">
        <f t="shared" si="2"/>
        <v>253899004</v>
      </c>
      <c r="L5" s="41">
        <f t="shared" si="2"/>
        <v>247636285</v>
      </c>
      <c r="M5" s="41">
        <f t="shared" si="2"/>
        <v>2509899041</v>
      </c>
    </row>
    <row r="6" spans="1:13">
      <c r="A6" s="30" t="s">
        <v>91</v>
      </c>
      <c r="B6" s="31" t="s">
        <v>92</v>
      </c>
      <c r="C6" s="42">
        <v>3200000000</v>
      </c>
      <c r="D6" s="48">
        <f>+'[1]cuadre por cuentas 20170101 al '!$D$113</f>
        <v>78685180</v>
      </c>
      <c r="E6" s="48">
        <f>+'[2]cuadre por cuentas 20170201 al '!$D$107</f>
        <v>84480991</v>
      </c>
      <c r="F6" s="48">
        <f>+'[3]cuadre por cuentas 20170301 al '!$D$107</f>
        <v>91208960</v>
      </c>
      <c r="G6" s="48">
        <f>+'[4]cuadre por cuentas 20170401 al '!$D$107</f>
        <v>86613097</v>
      </c>
      <c r="H6" s="42">
        <f>+'[5]cuadre por cuentas 20170501 al '!$D$107</f>
        <v>78949809</v>
      </c>
      <c r="I6" s="46">
        <f>44314183</f>
        <v>44314183</v>
      </c>
      <c r="J6" s="46">
        <f>42358524+15491254+5252572</f>
        <v>63102350</v>
      </c>
      <c r="K6" s="46">
        <v>98999275</v>
      </c>
      <c r="L6" s="46">
        <v>103100593</v>
      </c>
      <c r="M6" s="42">
        <f t="shared" ref="M6:M46" si="3">+D6+E6+F6+G6+H6+I6+J6+K6+L6</f>
        <v>729454438</v>
      </c>
    </row>
    <row r="7" spans="1:13">
      <c r="A7" s="30" t="s">
        <v>93</v>
      </c>
      <c r="B7" s="31" t="s">
        <v>94</v>
      </c>
      <c r="C7" s="42">
        <v>365000000</v>
      </c>
      <c r="D7" s="48">
        <f>+'[1]cuadre por cuentas 20170101 al '!$D$150</f>
        <v>16918630</v>
      </c>
      <c r="E7" s="48">
        <f>+'[2]cuadre por cuentas 20170201 al '!$D$142</f>
        <v>16040634</v>
      </c>
      <c r="F7" s="48">
        <f>+'[3]cuadre por cuentas 20170301 al '!$D$144</f>
        <v>17365464</v>
      </c>
      <c r="G7" s="48">
        <f>+'[4]cuadre por cuentas 20170401 al '!$D$144</f>
        <v>14613894</v>
      </c>
      <c r="H7" s="42">
        <f>+'[5]cuadre por cuentas 20170501 al '!$D$144</f>
        <v>19138698</v>
      </c>
      <c r="I7" s="46">
        <f>1002254+3781231+9931426+45557+501127+14578240</f>
        <v>29839835</v>
      </c>
      <c r="J7" s="46">
        <v>29019809</v>
      </c>
      <c r="K7" s="46">
        <v>28518682</v>
      </c>
      <c r="L7" s="46">
        <v>11964234</v>
      </c>
      <c r="M7" s="42">
        <f t="shared" si="3"/>
        <v>183419880</v>
      </c>
    </row>
    <row r="8" spans="1:13">
      <c r="A8" s="30" t="s">
        <v>95</v>
      </c>
      <c r="B8" s="31" t="s">
        <v>96</v>
      </c>
      <c r="C8" s="42">
        <v>60000000</v>
      </c>
      <c r="D8" s="48">
        <f>+'[1]cuadre por cuentas 20170101 al '!$D$133</f>
        <v>2189046</v>
      </c>
      <c r="E8" s="48">
        <f>+'[2]cuadre por cuentas 20170201 al '!$D$126</f>
        <v>1674495</v>
      </c>
      <c r="F8" s="48">
        <f>+'[3]cuadre por cuentas 20170301 al '!$D$127</f>
        <v>6363081</v>
      </c>
      <c r="G8" s="48">
        <f>+'[4]cuadre por cuentas 20170401 al '!$D$127</f>
        <v>4800219</v>
      </c>
      <c r="H8" s="42">
        <f>+'[5]cuadre por cuentas 20170501 al '!$D$127</f>
        <v>1748917</v>
      </c>
      <c r="I8" s="46">
        <v>1153541</v>
      </c>
      <c r="J8" s="46">
        <v>1600073</v>
      </c>
      <c r="K8" s="46">
        <v>1227963</v>
      </c>
      <c r="L8" s="46">
        <v>3311779</v>
      </c>
      <c r="M8" s="42">
        <f t="shared" si="3"/>
        <v>24069114</v>
      </c>
    </row>
    <row r="9" spans="1:13">
      <c r="A9" s="30" t="s">
        <v>97</v>
      </c>
      <c r="B9" s="31" t="s">
        <v>98</v>
      </c>
      <c r="C9" s="42">
        <v>1764000000</v>
      </c>
      <c r="D9" s="48">
        <v>84815104</v>
      </c>
      <c r="E9" s="48">
        <v>100878825</v>
      </c>
      <c r="F9" s="48">
        <v>0</v>
      </c>
      <c r="G9" s="48">
        <v>0</v>
      </c>
      <c r="H9" s="42">
        <v>0</v>
      </c>
      <c r="I9" s="46">
        <f>38250762+2407729</f>
        <v>40658491</v>
      </c>
      <c r="J9" s="46">
        <f>34859640+1222968+32313</f>
        <v>36114921</v>
      </c>
      <c r="K9" s="46">
        <f>34530140+1017693</f>
        <v>35547833</v>
      </c>
      <c r="L9" s="46">
        <v>34273808</v>
      </c>
      <c r="M9" s="42">
        <f t="shared" si="3"/>
        <v>332288982</v>
      </c>
    </row>
    <row r="10" spans="1:13">
      <c r="A10" s="30" t="s">
        <v>99</v>
      </c>
      <c r="B10" s="31" t="s">
        <v>100</v>
      </c>
      <c r="C10" s="42">
        <v>26000000</v>
      </c>
      <c r="D10" s="48">
        <f>+'[1]cuadre por cuentas 20170101 al '!$D$109</f>
        <v>923412</v>
      </c>
      <c r="E10" s="48">
        <f>+'[2]cuadre por cuentas 20170201 al '!$D$103</f>
        <v>726840</v>
      </c>
      <c r="F10" s="48">
        <f>+'[3]cuadre por cuentas 20170301 al '!$D$103</f>
        <v>759144</v>
      </c>
      <c r="G10" s="48">
        <f>+'[4]cuadre por cuentas 20170401 al '!$D$103</f>
        <v>662232</v>
      </c>
      <c r="H10" s="42">
        <f>+'[5]cuadre por cuentas 20170501 al '!$D$103</f>
        <v>662232</v>
      </c>
      <c r="I10" s="46">
        <v>791448</v>
      </c>
      <c r="J10" s="46">
        <v>565320</v>
      </c>
      <c r="K10" s="46">
        <v>678384</v>
      </c>
      <c r="L10" s="46">
        <v>1082184</v>
      </c>
      <c r="M10" s="42">
        <f t="shared" si="3"/>
        <v>6851196</v>
      </c>
    </row>
    <row r="11" spans="1:13">
      <c r="A11" s="30" t="s">
        <v>101</v>
      </c>
      <c r="B11" s="31" t="s">
        <v>102</v>
      </c>
      <c r="C11" s="42">
        <v>38000000</v>
      </c>
      <c r="D11" s="48">
        <f>+'[1]cuadre por cuentas 20170101 al '!$D$116</f>
        <v>1143372</v>
      </c>
      <c r="E11" s="48">
        <f>+'[2]cuadre por cuentas 20170201 al '!$D$110</f>
        <v>1114419</v>
      </c>
      <c r="F11" s="48">
        <f>+'[3]cuadre por cuentas 20170301 al '!$D$110</f>
        <v>1259782</v>
      </c>
      <c r="G11" s="48">
        <f>+'[4]cuadre por cuentas 20170401 al '!$D$110</f>
        <v>839904</v>
      </c>
      <c r="H11" s="42">
        <f>+'[5]cuadre por cuentas 20170501 al '!$D$110</f>
        <v>1001424</v>
      </c>
      <c r="I11" s="46">
        <v>1276008</v>
      </c>
      <c r="J11" s="46">
        <v>985272</v>
      </c>
      <c r="K11" s="46">
        <v>1001424</v>
      </c>
      <c r="L11" s="46">
        <v>1453680</v>
      </c>
      <c r="M11" s="42">
        <f t="shared" si="3"/>
        <v>10075285</v>
      </c>
    </row>
    <row r="12" spans="1:13">
      <c r="A12" s="30" t="s">
        <v>103</v>
      </c>
      <c r="B12" s="31" t="s">
        <v>104</v>
      </c>
      <c r="C12" s="42">
        <v>95000000</v>
      </c>
      <c r="D12" s="48">
        <f>+'[1]cuadre por cuentas 20170101 al '!$D$124</f>
        <v>5136620</v>
      </c>
      <c r="E12" s="48">
        <f>+'[2]cuadre por cuentas 20170201 al '!$D$117</f>
        <v>7563611</v>
      </c>
      <c r="F12" s="48">
        <f>+'[3]cuadre por cuentas 20170301 al '!$D$118</f>
        <v>11198564</v>
      </c>
      <c r="G12" s="48">
        <f>+'[4]cuadre por cuentas 20170401 al '!$D$118</f>
        <v>8175667</v>
      </c>
      <c r="H12" s="42">
        <f>+'[5]cuadre por cuentas 20170501 al '!$D$118</f>
        <v>6883478</v>
      </c>
      <c r="I12" s="46">
        <v>5061103</v>
      </c>
      <c r="J12" s="46">
        <v>4011185</v>
      </c>
      <c r="K12" s="46">
        <v>6331301</v>
      </c>
      <c r="L12" s="46">
        <v>8094786</v>
      </c>
      <c r="M12" s="42">
        <f t="shared" si="3"/>
        <v>62456315</v>
      </c>
    </row>
    <row r="13" spans="1:13">
      <c r="A13" s="30" t="s">
        <v>105</v>
      </c>
      <c r="B13" s="31" t="s">
        <v>106</v>
      </c>
      <c r="C13" s="42">
        <v>5000000</v>
      </c>
      <c r="D13" s="48">
        <f>+'[1]cuadre por cuentas 20170101 al '!$D$111</f>
        <v>76257</v>
      </c>
      <c r="E13" s="48">
        <f>+'[2]cuadre por cuentas 20170201 al '!$D$105</f>
        <v>80642</v>
      </c>
      <c r="F13" s="48">
        <f>+'[3]cuadre por cuentas 20170301 al '!$D$105</f>
        <v>0</v>
      </c>
      <c r="G13" s="48">
        <f>+'[4]cuadre por cuentas 20170401 al '!$D$105</f>
        <v>80642</v>
      </c>
      <c r="H13" s="42">
        <v>0</v>
      </c>
      <c r="I13" s="46">
        <v>123456</v>
      </c>
      <c r="J13" s="46">
        <v>0</v>
      </c>
      <c r="K13" s="46">
        <v>0</v>
      </c>
      <c r="L13" s="46">
        <v>0</v>
      </c>
      <c r="M13" s="42">
        <f t="shared" si="3"/>
        <v>360997</v>
      </c>
    </row>
    <row r="14" spans="1:13">
      <c r="A14" s="30" t="s">
        <v>107</v>
      </c>
      <c r="B14" s="31" t="s">
        <v>108</v>
      </c>
      <c r="C14" s="42">
        <v>545000000</v>
      </c>
      <c r="D14" s="48">
        <v>7020431</v>
      </c>
      <c r="E14" s="48">
        <v>7435753</v>
      </c>
      <c r="F14" s="48">
        <v>0</v>
      </c>
      <c r="G14" s="48">
        <v>0</v>
      </c>
      <c r="H14" s="42">
        <v>0</v>
      </c>
      <c r="I14" s="46">
        <v>6263399</v>
      </c>
      <c r="J14" s="46">
        <v>6974151</v>
      </c>
      <c r="K14" s="46">
        <v>7998062</v>
      </c>
      <c r="L14" s="46">
        <v>6595274</v>
      </c>
      <c r="M14" s="42">
        <f t="shared" si="3"/>
        <v>42287070</v>
      </c>
    </row>
    <row r="15" spans="1:13">
      <c r="A15" s="30" t="s">
        <v>109</v>
      </c>
      <c r="B15" s="31" t="s">
        <v>110</v>
      </c>
      <c r="C15" s="42">
        <v>6000000</v>
      </c>
      <c r="D15" s="48">
        <f>+'[1]cuadre por cuentas 20170101 al '!$D$134</f>
        <v>456007</v>
      </c>
      <c r="E15" s="48">
        <f>+'[2]cuadre por cuentas 20170201 al '!$D$127</f>
        <v>330192</v>
      </c>
      <c r="F15" s="48">
        <f>+'[3]cuadre por cuentas 20170301 al '!$D$128</f>
        <v>715416</v>
      </c>
      <c r="G15" s="48">
        <f>+'[4]cuadre por cuentas 20170401 al '!$D$128</f>
        <v>348536</v>
      </c>
      <c r="H15" s="42">
        <f>+'[5]cuadre por cuentas 20170501 al '!$D$128</f>
        <v>495288</v>
      </c>
      <c r="I15" s="46">
        <v>421912</v>
      </c>
      <c r="J15" s="46">
        <v>440256</v>
      </c>
      <c r="K15" s="46">
        <v>642040</v>
      </c>
      <c r="L15" s="46">
        <v>587008</v>
      </c>
      <c r="M15" s="42">
        <f t="shared" si="3"/>
        <v>4436655</v>
      </c>
    </row>
    <row r="16" spans="1:13">
      <c r="A16" s="30" t="s">
        <v>111</v>
      </c>
      <c r="B16" s="31" t="s">
        <v>112</v>
      </c>
      <c r="C16" s="42">
        <v>1100000000</v>
      </c>
      <c r="D16" s="48">
        <f>+'[1]cuadre por cuentas 20170101 al '!$D$117</f>
        <v>34191551</v>
      </c>
      <c r="E16" s="48">
        <f>+'[2]cuadre por cuentas 20170201 al '!$D$111</f>
        <v>41279531</v>
      </c>
      <c r="F16" s="48">
        <f>+'[3]cuadre por cuentas 20170301 al '!$D$111</f>
        <v>41958241</v>
      </c>
      <c r="G16" s="48">
        <f>+'[4]cuadre por cuentas 20170401 al '!$D$111</f>
        <v>28002071</v>
      </c>
      <c r="H16" s="42">
        <f>+'[5]cuadre por cuentas 20170501 al '!$D$111</f>
        <v>32378934</v>
      </c>
      <c r="I16" s="46">
        <v>27271352</v>
      </c>
      <c r="J16" s="46">
        <v>21821967</v>
      </c>
      <c r="K16" s="46">
        <v>20155923</v>
      </c>
      <c r="L16" s="46">
        <v>19304788</v>
      </c>
      <c r="M16" s="42">
        <f t="shared" si="3"/>
        <v>266364358</v>
      </c>
    </row>
    <row r="17" spans="1:13">
      <c r="A17" s="30" t="s">
        <v>113</v>
      </c>
      <c r="B17" s="31" t="s">
        <v>114</v>
      </c>
      <c r="C17" s="42">
        <v>96000000</v>
      </c>
      <c r="D17" s="48">
        <v>13447850</v>
      </c>
      <c r="E17" s="48">
        <v>17375730</v>
      </c>
      <c r="F17" s="48">
        <v>0</v>
      </c>
      <c r="G17" s="48">
        <v>0</v>
      </c>
      <c r="H17" s="42">
        <v>0</v>
      </c>
      <c r="I17" s="46">
        <v>16191130</v>
      </c>
      <c r="J17" s="46">
        <v>17529220</v>
      </c>
      <c r="K17" s="46">
        <v>18406870</v>
      </c>
      <c r="L17" s="46">
        <v>18704210</v>
      </c>
      <c r="M17" s="42">
        <f t="shared" si="3"/>
        <v>101655010</v>
      </c>
    </row>
    <row r="18" spans="1:13">
      <c r="A18" s="30" t="s">
        <v>115</v>
      </c>
      <c r="B18" s="31" t="s">
        <v>116</v>
      </c>
      <c r="C18" s="42">
        <v>18000000</v>
      </c>
      <c r="D18" s="48">
        <v>8386</v>
      </c>
      <c r="E18" s="48">
        <v>7188</v>
      </c>
      <c r="F18" s="48">
        <v>0</v>
      </c>
      <c r="G18" s="48">
        <v>0</v>
      </c>
      <c r="H18" s="42">
        <v>0</v>
      </c>
      <c r="I18" s="46">
        <v>15574</v>
      </c>
      <c r="J18" s="46">
        <v>4792</v>
      </c>
      <c r="K18" s="46">
        <v>9584</v>
      </c>
      <c r="L18" s="46">
        <v>10782</v>
      </c>
      <c r="M18" s="42">
        <f t="shared" si="3"/>
        <v>56306</v>
      </c>
    </row>
    <row r="19" spans="1:13">
      <c r="A19" s="30" t="s">
        <v>117</v>
      </c>
      <c r="B19" s="31" t="s">
        <v>118</v>
      </c>
      <c r="C19" s="42">
        <v>53000000</v>
      </c>
      <c r="D19" s="48">
        <v>4326144</v>
      </c>
      <c r="E19" s="48">
        <v>6719168</v>
      </c>
      <c r="F19" s="48">
        <v>0</v>
      </c>
      <c r="G19" s="48">
        <v>0</v>
      </c>
      <c r="H19" s="42">
        <v>0</v>
      </c>
      <c r="I19" s="46">
        <v>4571694</v>
      </c>
      <c r="J19" s="46">
        <v>4596273</v>
      </c>
      <c r="K19" s="46">
        <v>5456538</v>
      </c>
      <c r="L19" s="46">
        <v>5407380</v>
      </c>
      <c r="M19" s="42">
        <f t="shared" si="3"/>
        <v>31077197</v>
      </c>
    </row>
    <row r="20" spans="1:13">
      <c r="A20" s="30" t="s">
        <v>119</v>
      </c>
      <c r="B20" s="31" t="s">
        <v>120</v>
      </c>
      <c r="C20" s="42">
        <v>82500000</v>
      </c>
      <c r="D20" s="48">
        <f>+'[1]cuadre por cuentas 20170101 al '!$D$126</f>
        <v>4750549</v>
      </c>
      <c r="E20" s="48">
        <f>+'[2]cuadre por cuentas 20170201 al '!$D$119</f>
        <v>5984824</v>
      </c>
      <c r="F20" s="48">
        <f>+'[3]cuadre por cuentas 20170301 al '!$D$120</f>
        <v>7856853</v>
      </c>
      <c r="G20" s="48">
        <f>+'[4]cuadre por cuentas 20170401 al '!$D$120</f>
        <v>6285424</v>
      </c>
      <c r="H20" s="42">
        <f>+'[5]cuadre por cuentas 20170501 al '!$D$120</f>
        <v>5940423</v>
      </c>
      <c r="I20" s="46">
        <v>4342230</v>
      </c>
      <c r="J20" s="46">
        <v>2999420</v>
      </c>
      <c r="K20" s="46">
        <v>3998383</v>
      </c>
      <c r="L20" s="46">
        <v>6163584</v>
      </c>
      <c r="M20" s="42">
        <f t="shared" si="3"/>
        <v>48321690</v>
      </c>
    </row>
    <row r="21" spans="1:13">
      <c r="A21" s="30" t="s">
        <v>121</v>
      </c>
      <c r="B21" s="31" t="s">
        <v>122</v>
      </c>
      <c r="C21" s="42">
        <v>3850000</v>
      </c>
      <c r="D21" s="48">
        <v>56352</v>
      </c>
      <c r="E21" s="48">
        <v>112804</v>
      </c>
      <c r="F21" s="48">
        <v>0</v>
      </c>
      <c r="G21" s="48">
        <v>0</v>
      </c>
      <c r="H21" s="42">
        <v>0</v>
      </c>
      <c r="I21" s="46">
        <v>0</v>
      </c>
      <c r="J21" s="46">
        <v>56352</v>
      </c>
      <c r="K21" s="46">
        <v>619872</v>
      </c>
      <c r="L21" s="46">
        <v>112704</v>
      </c>
      <c r="M21" s="42">
        <f t="shared" si="3"/>
        <v>958084</v>
      </c>
    </row>
    <row r="22" spans="1:13">
      <c r="A22" s="30" t="s">
        <v>123</v>
      </c>
      <c r="B22" s="31" t="s">
        <v>124</v>
      </c>
      <c r="C22" s="42">
        <v>26000000</v>
      </c>
      <c r="D22" s="48">
        <v>5697472</v>
      </c>
      <c r="E22" s="48">
        <v>6571516</v>
      </c>
      <c r="F22" s="48">
        <v>0</v>
      </c>
      <c r="G22" s="48">
        <v>0</v>
      </c>
      <c r="H22" s="42">
        <v>0</v>
      </c>
      <c r="I22" s="46">
        <f>2719248+3431432</f>
        <v>6150680</v>
      </c>
      <c r="J22" s="46">
        <f>2492644+3722780</f>
        <v>6215424</v>
      </c>
      <c r="K22" s="46">
        <f>3560920+2136552</f>
        <v>5697472</v>
      </c>
      <c r="L22" s="46">
        <v>6085936</v>
      </c>
      <c r="M22" s="42">
        <f t="shared" si="3"/>
        <v>36418500</v>
      </c>
    </row>
    <row r="23" spans="1:13">
      <c r="A23" s="30" t="s">
        <v>125</v>
      </c>
      <c r="B23" s="31" t="s">
        <v>126</v>
      </c>
      <c r="C23" s="42">
        <v>39000000</v>
      </c>
      <c r="D23" s="48">
        <f>+'[1]cuadre por cuentas 20170101 al '!$D$144</f>
        <v>3404112</v>
      </c>
      <c r="E23" s="48">
        <f>+'[2]cuadre por cuentas 20170201 al '!$D$136</f>
        <v>4791760</v>
      </c>
      <c r="F23" s="48">
        <f>+'[3]cuadre por cuentas 20170301 al '!$D$138</f>
        <v>9960400</v>
      </c>
      <c r="G23" s="48">
        <f>+'[4]cuadre por cuentas 20170401 al '!$D$138</f>
        <v>9852720</v>
      </c>
      <c r="H23" s="42">
        <f>+'[5]cuadre por cuentas 20170501 al '!$D$138</f>
        <v>5545520</v>
      </c>
      <c r="I23" s="46">
        <v>7349160</v>
      </c>
      <c r="J23" s="46">
        <v>9448920</v>
      </c>
      <c r="K23" s="46">
        <v>8560560</v>
      </c>
      <c r="L23" s="46">
        <v>8129840</v>
      </c>
      <c r="M23" s="42">
        <f t="shared" si="3"/>
        <v>67042992</v>
      </c>
    </row>
    <row r="24" spans="1:13">
      <c r="A24" s="30" t="s">
        <v>127</v>
      </c>
      <c r="B24" s="31" t="s">
        <v>128</v>
      </c>
      <c r="C24" s="42">
        <v>10000000</v>
      </c>
      <c r="D24" s="48">
        <v>517952</v>
      </c>
      <c r="E24" s="48">
        <v>809300</v>
      </c>
      <c r="F24" s="48">
        <v>0</v>
      </c>
      <c r="G24" s="48">
        <v>0</v>
      </c>
      <c r="H24" s="42">
        <v>0</v>
      </c>
      <c r="I24" s="46">
        <v>453208</v>
      </c>
      <c r="J24" s="46">
        <v>550324</v>
      </c>
      <c r="K24" s="46">
        <v>550324</v>
      </c>
      <c r="L24" s="46">
        <v>485580</v>
      </c>
      <c r="M24" s="42">
        <f t="shared" si="3"/>
        <v>3366688</v>
      </c>
    </row>
    <row r="25" spans="1:13">
      <c r="A25" s="30" t="s">
        <v>129</v>
      </c>
      <c r="B25" s="31" t="s">
        <v>130</v>
      </c>
      <c r="C25" s="42">
        <v>1000000</v>
      </c>
      <c r="D25" s="48"/>
      <c r="E25" s="48">
        <v>112704</v>
      </c>
      <c r="F25" s="48">
        <v>0</v>
      </c>
      <c r="G25" s="48">
        <v>0</v>
      </c>
      <c r="H25" s="42">
        <v>0</v>
      </c>
      <c r="I25" s="46">
        <v>145987</v>
      </c>
      <c r="J25" s="46">
        <v>56352</v>
      </c>
      <c r="K25" s="46">
        <v>112704</v>
      </c>
      <c r="L25" s="46">
        <v>338112</v>
      </c>
      <c r="M25" s="42">
        <f t="shared" si="3"/>
        <v>765859</v>
      </c>
    </row>
    <row r="26" spans="1:13">
      <c r="A26" s="30" t="s">
        <v>131</v>
      </c>
      <c r="B26" s="31" t="s">
        <v>132</v>
      </c>
      <c r="C26" s="42">
        <v>6000000</v>
      </c>
      <c r="D26" s="48">
        <v>499375</v>
      </c>
      <c r="E26" s="48">
        <v>587500</v>
      </c>
      <c r="F26" s="48">
        <v>0</v>
      </c>
      <c r="G26" s="48">
        <v>0</v>
      </c>
      <c r="H26" s="42">
        <v>0</v>
      </c>
      <c r="I26" s="46">
        <v>470000</v>
      </c>
      <c r="J26" s="46">
        <v>499384</v>
      </c>
      <c r="K26" s="46">
        <v>440632</v>
      </c>
      <c r="L26" s="46">
        <v>352503</v>
      </c>
      <c r="M26" s="42">
        <f t="shared" si="3"/>
        <v>2849394</v>
      </c>
    </row>
    <row r="27" spans="1:13">
      <c r="A27" s="30" t="s">
        <v>133</v>
      </c>
      <c r="B27" s="31" t="s">
        <v>134</v>
      </c>
      <c r="C27" s="42">
        <v>250000</v>
      </c>
      <c r="D27" s="48">
        <v>0</v>
      </c>
      <c r="E27" s="48">
        <v>56352</v>
      </c>
      <c r="F27" s="48">
        <v>0</v>
      </c>
      <c r="G27" s="48">
        <v>0</v>
      </c>
      <c r="H27" s="42">
        <v>0</v>
      </c>
      <c r="I27" s="46">
        <v>112704</v>
      </c>
      <c r="J27" s="46">
        <v>112704</v>
      </c>
      <c r="K27" s="46">
        <v>56352</v>
      </c>
      <c r="L27" s="46">
        <v>112704</v>
      </c>
      <c r="M27" s="42">
        <f t="shared" si="3"/>
        <v>450816</v>
      </c>
    </row>
    <row r="28" spans="1:13">
      <c r="A28" s="30" t="s">
        <v>135</v>
      </c>
      <c r="B28" s="31" t="s">
        <v>136</v>
      </c>
      <c r="C28" s="42">
        <v>3500000</v>
      </c>
      <c r="D28" s="48">
        <v>169056</v>
      </c>
      <c r="E28" s="48">
        <v>394464</v>
      </c>
      <c r="F28" s="48">
        <v>0</v>
      </c>
      <c r="G28" s="48">
        <v>0</v>
      </c>
      <c r="H28" s="42">
        <v>0</v>
      </c>
      <c r="I28" s="46">
        <v>112704</v>
      </c>
      <c r="J28" s="46">
        <v>394464</v>
      </c>
      <c r="K28" s="46">
        <v>507168</v>
      </c>
      <c r="L28" s="46">
        <v>281760</v>
      </c>
      <c r="M28" s="42">
        <f t="shared" si="3"/>
        <v>1859616</v>
      </c>
    </row>
    <row r="29" spans="1:13">
      <c r="A29" s="30" t="s">
        <v>137</v>
      </c>
      <c r="B29" s="31" t="s">
        <v>138</v>
      </c>
      <c r="C29" s="42">
        <v>24200000</v>
      </c>
      <c r="D29" s="48">
        <v>0</v>
      </c>
      <c r="E29" s="48">
        <v>0</v>
      </c>
      <c r="F29" s="48">
        <v>0</v>
      </c>
      <c r="G29" s="48">
        <v>0</v>
      </c>
      <c r="H29" s="42">
        <v>0</v>
      </c>
      <c r="I29" s="46">
        <v>0</v>
      </c>
      <c r="J29" s="46">
        <v>0</v>
      </c>
      <c r="K29" s="46">
        <v>0</v>
      </c>
      <c r="L29" s="46">
        <v>0</v>
      </c>
      <c r="M29" s="42">
        <f t="shared" si="3"/>
        <v>0</v>
      </c>
    </row>
    <row r="30" spans="1:13">
      <c r="A30" s="30" t="s">
        <v>139</v>
      </c>
      <c r="B30" s="31" t="s">
        <v>140</v>
      </c>
      <c r="C30" s="42">
        <v>9500000</v>
      </c>
      <c r="D30" s="48">
        <v>245800</v>
      </c>
      <c r="E30" s="48">
        <v>168463</v>
      </c>
      <c r="F30" s="48">
        <v>0</v>
      </c>
      <c r="G30" s="48">
        <v>0</v>
      </c>
      <c r="H30" s="42">
        <v>0</v>
      </c>
      <c r="I30" s="46">
        <v>136689</v>
      </c>
      <c r="J30" s="46">
        <v>259589</v>
      </c>
      <c r="K30" s="46">
        <v>218222</v>
      </c>
      <c r="L30" s="46">
        <v>354911</v>
      </c>
      <c r="M30" s="42">
        <f t="shared" si="3"/>
        <v>1383674</v>
      </c>
    </row>
    <row r="31" spans="1:13">
      <c r="A31" s="30" t="s">
        <v>141</v>
      </c>
      <c r="B31" s="31" t="s">
        <v>142</v>
      </c>
      <c r="C31" s="42">
        <v>110000</v>
      </c>
      <c r="D31" s="48">
        <v>0</v>
      </c>
      <c r="E31" s="48">
        <v>0</v>
      </c>
      <c r="F31" s="48">
        <v>0</v>
      </c>
      <c r="G31" s="48">
        <v>0</v>
      </c>
      <c r="H31" s="42">
        <v>0</v>
      </c>
      <c r="I31" s="46">
        <v>0</v>
      </c>
      <c r="J31" s="46">
        <v>0</v>
      </c>
      <c r="K31" s="46">
        <v>0</v>
      </c>
      <c r="L31" s="46">
        <v>476610</v>
      </c>
      <c r="M31" s="42">
        <f t="shared" si="3"/>
        <v>476610</v>
      </c>
    </row>
    <row r="32" spans="1:13">
      <c r="A32" s="30" t="s">
        <v>143</v>
      </c>
      <c r="B32" s="31" t="s">
        <v>144</v>
      </c>
      <c r="C32" s="42">
        <v>3500000</v>
      </c>
      <c r="D32" s="48">
        <v>0</v>
      </c>
      <c r="E32" s="48">
        <v>0</v>
      </c>
      <c r="F32" s="48">
        <v>0</v>
      </c>
      <c r="G32" s="48">
        <v>0</v>
      </c>
      <c r="H32" s="42">
        <v>0</v>
      </c>
      <c r="I32" s="46">
        <v>0</v>
      </c>
      <c r="J32" s="46">
        <v>0</v>
      </c>
      <c r="K32" s="46">
        <v>0</v>
      </c>
      <c r="L32" s="46">
        <v>0</v>
      </c>
      <c r="M32" s="42">
        <f t="shared" si="3"/>
        <v>0</v>
      </c>
    </row>
    <row r="33" spans="1:13">
      <c r="A33" s="30" t="s">
        <v>145</v>
      </c>
      <c r="B33" s="31" t="s">
        <v>146</v>
      </c>
      <c r="C33" s="42">
        <v>2200000</v>
      </c>
      <c r="D33" s="48">
        <v>0</v>
      </c>
      <c r="E33" s="48">
        <v>0</v>
      </c>
      <c r="F33" s="48">
        <v>0</v>
      </c>
      <c r="G33" s="48">
        <v>0</v>
      </c>
      <c r="H33" s="42">
        <v>0</v>
      </c>
      <c r="I33" s="46">
        <v>0</v>
      </c>
      <c r="J33" s="46">
        <v>0</v>
      </c>
      <c r="K33" s="46">
        <v>0</v>
      </c>
      <c r="L33" s="46"/>
      <c r="M33" s="42">
        <f t="shared" si="3"/>
        <v>0</v>
      </c>
    </row>
    <row r="34" spans="1:13">
      <c r="A34" s="30" t="s">
        <v>147</v>
      </c>
      <c r="B34" s="31" t="s">
        <v>148</v>
      </c>
      <c r="C34" s="42">
        <v>112000000</v>
      </c>
      <c r="D34" s="48">
        <f>+'[1]cuadre por cuentas 20170101 al '!$D$149</f>
        <v>3874514</v>
      </c>
      <c r="E34" s="48">
        <f>+'[2]cuadre por cuentas 20170201 al '!$D$141</f>
        <v>8474616</v>
      </c>
      <c r="F34" s="48">
        <f>+'[3]cuadre por cuentas 20170301 al '!$D$143</f>
        <v>4924935</v>
      </c>
      <c r="G34" s="48">
        <f>+'[4]cuadre por cuentas 20170401 al '!$D$143</f>
        <v>1228482</v>
      </c>
      <c r="H34" s="42">
        <f>+'[5]cuadre por cuentas 20170501 al '!$D$143</f>
        <v>4234617</v>
      </c>
      <c r="I34" s="46">
        <v>12258153</v>
      </c>
      <c r="J34" s="46">
        <v>6876513</v>
      </c>
      <c r="K34" s="46">
        <v>1299177</v>
      </c>
      <c r="L34" s="46">
        <v>592470</v>
      </c>
      <c r="M34" s="42">
        <f t="shared" si="3"/>
        <v>43763477</v>
      </c>
    </row>
    <row r="35" spans="1:13">
      <c r="A35" s="30" t="s">
        <v>149</v>
      </c>
      <c r="B35" s="31" t="s">
        <v>150</v>
      </c>
      <c r="C35" s="42">
        <v>27500000</v>
      </c>
      <c r="D35" s="48">
        <f>+'[1]cuadre por cuentas 20170101 al '!$D$121</f>
        <v>1505636</v>
      </c>
      <c r="E35" s="48">
        <f>+'[2]cuadre por cuentas 20170201 al '!$D$114</f>
        <v>1211410</v>
      </c>
      <c r="F35" s="48">
        <f>+'[3]cuadre por cuentas 20170301 al '!$D$115</f>
        <v>1237745</v>
      </c>
      <c r="G35" s="48">
        <f>+'[4]cuadre por cuentas 20170401 al '!$D$115</f>
        <v>1079735</v>
      </c>
      <c r="H35" s="42">
        <f>+'[5]cuadre por cuentas 20170501 al '!$D$115</f>
        <v>1079735</v>
      </c>
      <c r="I35" s="46">
        <v>1290415</v>
      </c>
      <c r="J35" s="46">
        <v>921725</v>
      </c>
      <c r="K35" s="46">
        <v>1106070</v>
      </c>
      <c r="L35" s="46">
        <v>1764445</v>
      </c>
      <c r="M35" s="42">
        <f t="shared" si="3"/>
        <v>11196916</v>
      </c>
    </row>
    <row r="36" spans="1:13">
      <c r="A36" s="30" t="s">
        <v>151</v>
      </c>
      <c r="B36" s="31" t="s">
        <v>152</v>
      </c>
      <c r="C36" s="42">
        <v>18560000</v>
      </c>
      <c r="D36" s="48">
        <f>+'[1]cuadre por cuentas 20170101 al '!$D$123</f>
        <v>1998832</v>
      </c>
      <c r="E36" s="48">
        <f>+'[2]cuadre por cuentas 20170201 al '!$D$116</f>
        <v>1378527</v>
      </c>
      <c r="F36" s="48">
        <f>+'[3]cuadre por cuentas 20170301 al '!$D$117</f>
        <v>2850703</v>
      </c>
      <c r="G36" s="48">
        <f>+'[4]cuadre por cuentas 20170401 al '!$D$117</f>
        <v>1363543</v>
      </c>
      <c r="H36" s="42">
        <f>+'[5]cuadre por cuentas 20170501 al '!$D$117</f>
        <v>1947920</v>
      </c>
      <c r="I36" s="46">
        <f>1505892+4294</f>
        <v>1510186</v>
      </c>
      <c r="J36" s="46">
        <v>1457194</v>
      </c>
      <c r="K36" s="46">
        <v>2887471</v>
      </c>
      <c r="L36" s="46">
        <v>3978252</v>
      </c>
      <c r="M36" s="42">
        <f t="shared" si="3"/>
        <v>19372628</v>
      </c>
    </row>
    <row r="37" spans="1:13">
      <c r="A37" s="30" t="s">
        <v>153</v>
      </c>
      <c r="B37" s="31" t="s">
        <v>155</v>
      </c>
      <c r="C37" s="42">
        <v>660000</v>
      </c>
      <c r="D37" s="48">
        <f>+'[1]cuadre por cuentas 20170101 al '!$D$141</f>
        <v>21562</v>
      </c>
      <c r="E37" s="48">
        <v>43124</v>
      </c>
      <c r="F37" s="48">
        <f>+'[3]cuadre por cuentas 20170301 al '!$D$135</f>
        <v>85211</v>
      </c>
      <c r="G37" s="48">
        <f>+'[4]cuadre por cuentas 20170401 al '!$D$135</f>
        <v>36519</v>
      </c>
      <c r="H37" s="42">
        <f>+'[5]cuadre por cuentas 20170501 al '!$D$135</f>
        <v>36519</v>
      </c>
      <c r="I37" s="46">
        <v>36519</v>
      </c>
      <c r="J37" s="46">
        <v>24346</v>
      </c>
      <c r="K37" s="46">
        <v>12173</v>
      </c>
      <c r="L37" s="46">
        <v>36519</v>
      </c>
      <c r="M37" s="42">
        <f t="shared" si="3"/>
        <v>332492</v>
      </c>
    </row>
    <row r="38" spans="1:13">
      <c r="A38" s="30" t="s">
        <v>154</v>
      </c>
      <c r="B38" s="31" t="s">
        <v>157</v>
      </c>
      <c r="C38" s="42">
        <v>2420000</v>
      </c>
      <c r="D38" s="48">
        <f>+'[1]cuadre por cuentas 20170101 al '!$D$145+'[1]cuadre por cuentas 20170101 al '!$D$132</f>
        <v>158380</v>
      </c>
      <c r="E38" s="48">
        <f>+'[2]cuadre por cuentas 20170201 al '!$D$137</f>
        <v>16372</v>
      </c>
      <c r="F38" s="48">
        <f>+'[3]cuadre por cuentas 20170301 al '!$D$126</f>
        <v>163720</v>
      </c>
      <c r="G38" s="48">
        <f>+'[4]cuadre por cuentas 20170401 al '!$D$139</f>
        <v>16372</v>
      </c>
      <c r="H38" s="42">
        <f>+'[5]cuadre por cuentas 20170501 al '!$D$139</f>
        <v>16372</v>
      </c>
      <c r="I38" s="46">
        <v>130976</v>
      </c>
      <c r="J38" s="46">
        <v>49116</v>
      </c>
      <c r="K38" s="46">
        <v>65488</v>
      </c>
      <c r="L38" s="46">
        <v>16372</v>
      </c>
      <c r="M38" s="42">
        <f t="shared" si="3"/>
        <v>633168</v>
      </c>
    </row>
    <row r="39" spans="1:13">
      <c r="A39" s="30" t="s">
        <v>156</v>
      </c>
      <c r="B39" s="31" t="s">
        <v>159</v>
      </c>
      <c r="C39" s="42">
        <v>110000</v>
      </c>
      <c r="D39" s="48"/>
      <c r="E39" s="48">
        <v>0</v>
      </c>
      <c r="F39" s="48">
        <v>0</v>
      </c>
      <c r="G39" s="48">
        <v>0</v>
      </c>
      <c r="H39" s="42">
        <v>0</v>
      </c>
      <c r="I39" s="46">
        <v>0</v>
      </c>
      <c r="J39" s="46">
        <v>0</v>
      </c>
      <c r="K39" s="46">
        <v>0</v>
      </c>
      <c r="L39" s="46">
        <v>0</v>
      </c>
      <c r="M39" s="42">
        <f t="shared" si="3"/>
        <v>0</v>
      </c>
    </row>
    <row r="40" spans="1:13">
      <c r="A40" s="30" t="s">
        <v>158</v>
      </c>
      <c r="B40" s="31" t="s">
        <v>161</v>
      </c>
      <c r="C40" s="42">
        <v>2420000</v>
      </c>
      <c r="D40" s="48"/>
      <c r="E40" s="48">
        <v>0</v>
      </c>
      <c r="F40" s="48">
        <v>0</v>
      </c>
      <c r="G40" s="48">
        <v>0</v>
      </c>
      <c r="H40" s="42">
        <v>0</v>
      </c>
      <c r="I40" s="46">
        <v>0</v>
      </c>
      <c r="J40" s="46">
        <v>0</v>
      </c>
      <c r="K40" s="46">
        <v>0</v>
      </c>
      <c r="L40" s="46">
        <v>0</v>
      </c>
      <c r="M40" s="42">
        <f t="shared" si="3"/>
        <v>0</v>
      </c>
    </row>
    <row r="41" spans="1:13">
      <c r="A41" s="30" t="s">
        <v>181</v>
      </c>
      <c r="B41" s="31" t="s">
        <v>163</v>
      </c>
      <c r="C41" s="42">
        <v>15730000</v>
      </c>
      <c r="D41" s="48">
        <v>467595</v>
      </c>
      <c r="E41" s="48">
        <v>814695</v>
      </c>
      <c r="F41" s="48">
        <v>0</v>
      </c>
      <c r="G41" s="48">
        <v>0</v>
      </c>
      <c r="H41" s="42">
        <v>0</v>
      </c>
      <c r="I41" s="46">
        <v>502965</v>
      </c>
      <c r="J41" s="46">
        <v>764940</v>
      </c>
      <c r="K41" s="46">
        <v>890230</v>
      </c>
      <c r="L41" s="46">
        <v>1499305</v>
      </c>
      <c r="M41" s="42">
        <f t="shared" si="3"/>
        <v>4939730</v>
      </c>
    </row>
    <row r="42" spans="1:13">
      <c r="A42" s="30" t="s">
        <v>182</v>
      </c>
      <c r="B42" s="31" t="s">
        <v>165</v>
      </c>
      <c r="C42" s="42">
        <v>2420000</v>
      </c>
      <c r="D42" s="48"/>
      <c r="E42" s="48">
        <v>0</v>
      </c>
      <c r="F42" s="48">
        <v>0</v>
      </c>
      <c r="G42" s="48">
        <v>0</v>
      </c>
      <c r="H42" s="42">
        <v>0</v>
      </c>
      <c r="I42" s="46">
        <v>0</v>
      </c>
      <c r="J42" s="46">
        <v>0</v>
      </c>
      <c r="K42" s="46">
        <v>0</v>
      </c>
      <c r="L42" s="46">
        <v>0</v>
      </c>
      <c r="M42" s="42">
        <f t="shared" si="3"/>
        <v>0</v>
      </c>
    </row>
    <row r="43" spans="1:13">
      <c r="A43" s="30" t="s">
        <v>160</v>
      </c>
      <c r="B43" s="31" t="s">
        <v>166</v>
      </c>
      <c r="C43" s="42">
        <v>2420000</v>
      </c>
      <c r="D43" s="48"/>
      <c r="E43" s="48">
        <v>0</v>
      </c>
      <c r="F43" s="48">
        <v>0</v>
      </c>
      <c r="G43" s="48">
        <v>0</v>
      </c>
      <c r="H43" s="42">
        <v>0</v>
      </c>
      <c r="I43" s="46">
        <v>0</v>
      </c>
      <c r="J43" s="46">
        <v>0</v>
      </c>
      <c r="K43" s="46">
        <v>0</v>
      </c>
      <c r="L43" s="46">
        <v>0</v>
      </c>
      <c r="M43" s="42">
        <f t="shared" si="3"/>
        <v>0</v>
      </c>
    </row>
    <row r="44" spans="1:13">
      <c r="A44" s="30" t="s">
        <v>162</v>
      </c>
      <c r="B44" s="31" t="s">
        <v>167</v>
      </c>
      <c r="C44" s="42">
        <v>18150000</v>
      </c>
      <c r="D44" s="48">
        <f>+'[1]cuadre por cuentas 20170101 al '!$D$142</f>
        <v>1157628</v>
      </c>
      <c r="E44" s="48">
        <f>+'[2]cuadre por cuentas 20170201 al '!$D$134</f>
        <v>911160</v>
      </c>
      <c r="F44" s="48">
        <f>+'[3]cuadre por cuentas 20170301 al '!$D$136</f>
        <v>951656</v>
      </c>
      <c r="G44" s="48">
        <f>+'[4]cuadre por cuentas 20170401 al '!$D$136</f>
        <v>830168</v>
      </c>
      <c r="H44" s="42">
        <f>+'[5]cuadre por cuentas 20170501 al '!$D$136</f>
        <v>830168</v>
      </c>
      <c r="I44" s="46">
        <v>4916</v>
      </c>
      <c r="J44" s="46">
        <v>708680</v>
      </c>
      <c r="K44" s="46">
        <v>850416</v>
      </c>
      <c r="L44" s="46">
        <v>1356616</v>
      </c>
      <c r="M44" s="42">
        <f t="shared" si="3"/>
        <v>7601408</v>
      </c>
    </row>
    <row r="45" spans="1:13">
      <c r="A45" s="30" t="s">
        <v>164</v>
      </c>
      <c r="B45" s="31" t="s">
        <v>168</v>
      </c>
      <c r="C45" s="42">
        <v>15000000</v>
      </c>
      <c r="D45" s="48">
        <f>+'[1]cuadre por cuentas 20170101 al '!$D$152</f>
        <v>229348</v>
      </c>
      <c r="E45" s="48">
        <f>+'[2]cuadre por cuentas 20170201 al '!$D$144</f>
        <v>456257</v>
      </c>
      <c r="F45" s="48">
        <f>+'[3]cuadre por cuentas 20170301 al '!$D$146</f>
        <v>1286011</v>
      </c>
      <c r="G45" s="48">
        <f>+'[4]cuadre por cuentas 20170401 al '!$D$146</f>
        <v>790527</v>
      </c>
      <c r="H45" s="42">
        <f>+'[5]cuadre por cuentas 20170501 al '!$D$146</f>
        <v>1887193</v>
      </c>
      <c r="I45" s="46">
        <v>158794</v>
      </c>
      <c r="J45" s="46">
        <v>89524</v>
      </c>
      <c r="K45" s="46">
        <v>1052411</v>
      </c>
      <c r="L45" s="46">
        <v>1607556</v>
      </c>
      <c r="M45" s="42">
        <f t="shared" si="3"/>
        <v>7557621</v>
      </c>
    </row>
    <row r="46" spans="1:13">
      <c r="A46" s="30" t="s">
        <v>191</v>
      </c>
      <c r="B46" s="31" t="s">
        <v>192</v>
      </c>
      <c r="C46" s="42"/>
      <c r="D46" s="48">
        <f>+'[1]cuadre por cuentas 20170101 al '!$D$155</f>
        <v>80717893</v>
      </c>
      <c r="E46" s="48">
        <f>+'[2]cuadre por cuentas 20170201 al '!$D$148</f>
        <v>104650152</v>
      </c>
      <c r="F46" s="48">
        <f>+'[3]cuadre por cuentas 20170301 al '!$D$150</f>
        <v>103976015</v>
      </c>
      <c r="G46" s="48">
        <f>+'[4]cuadre por cuentas 20170401 al '!$D$151</f>
        <v>77347551</v>
      </c>
      <c r="H46" s="42">
        <f>+'[5]cuadre por cuentas 20170501 al '!$D$151</f>
        <v>89063264</v>
      </c>
      <c r="I46" s="42"/>
      <c r="J46" s="42"/>
      <c r="K46" s="42"/>
      <c r="L46" s="42"/>
      <c r="M46" s="42">
        <f t="shared" si="3"/>
        <v>455754875</v>
      </c>
    </row>
    <row r="47" spans="1:13">
      <c r="A47" s="35"/>
      <c r="B47" s="36" t="s">
        <v>169</v>
      </c>
      <c r="C47" s="43">
        <f>+C3+C5</f>
        <v>9230000000</v>
      </c>
      <c r="D47" s="43">
        <f>+D3+D5</f>
        <v>402510046</v>
      </c>
      <c r="E47" s="43">
        <f t="shared" ref="E47:M47" si="4">+E3+E5</f>
        <v>519177019</v>
      </c>
      <c r="F47" s="43">
        <f t="shared" si="4"/>
        <v>554921901</v>
      </c>
      <c r="G47" s="43">
        <f t="shared" si="4"/>
        <v>446967303</v>
      </c>
      <c r="H47" s="43">
        <f t="shared" si="4"/>
        <v>462840511</v>
      </c>
      <c r="I47" s="43">
        <f t="shared" si="4"/>
        <v>423119412</v>
      </c>
      <c r="J47" s="43">
        <f t="shared" si="4"/>
        <v>292886691</v>
      </c>
      <c r="K47" s="43">
        <f>+K3+K5</f>
        <v>503361272</v>
      </c>
      <c r="L47" s="43">
        <f>L3+L5</f>
        <v>258996285</v>
      </c>
      <c r="M47" s="43">
        <f t="shared" si="4"/>
        <v>3864780440</v>
      </c>
    </row>
    <row r="48" spans="1:13">
      <c r="A48" s="28">
        <v>2</v>
      </c>
      <c r="B48" s="29" t="s">
        <v>170</v>
      </c>
      <c r="C48" s="42"/>
      <c r="D48" s="42"/>
      <c r="E48" s="42"/>
      <c r="F48" s="42"/>
      <c r="G48" s="42"/>
      <c r="H48" s="42"/>
      <c r="I48" s="46"/>
      <c r="J48" s="46"/>
      <c r="K48" s="46"/>
      <c r="L48" s="46"/>
      <c r="M48" s="41">
        <f>+D48+E48+F48+G48+H48</f>
        <v>0</v>
      </c>
    </row>
    <row r="49" spans="1:13">
      <c r="A49" s="28">
        <v>2.1</v>
      </c>
      <c r="B49" s="29" t="s">
        <v>5</v>
      </c>
      <c r="C49" s="42">
        <v>0</v>
      </c>
      <c r="D49" s="42"/>
      <c r="E49" s="42"/>
      <c r="F49" s="42"/>
      <c r="G49" s="42"/>
      <c r="H49" s="42"/>
      <c r="I49" s="47"/>
      <c r="J49" s="47"/>
      <c r="K49" s="47"/>
      <c r="L49" s="47"/>
      <c r="M49" s="41">
        <f>+D49+E49+F49+G49+H49</f>
        <v>0</v>
      </c>
    </row>
    <row r="50" spans="1:13">
      <c r="A50" s="28">
        <v>2.2000000000000002</v>
      </c>
      <c r="B50" s="29" t="s">
        <v>6</v>
      </c>
      <c r="C50" s="41">
        <v>10000000</v>
      </c>
      <c r="D50" s="41"/>
      <c r="E50" s="42"/>
      <c r="F50" s="42"/>
      <c r="G50" s="42"/>
      <c r="H50" s="42"/>
      <c r="I50" s="46"/>
      <c r="J50" s="46"/>
      <c r="K50" s="46"/>
      <c r="L50" s="46"/>
      <c r="M50" s="41">
        <f>+D50+E50+F50+G50+H50</f>
        <v>0</v>
      </c>
    </row>
    <row r="51" spans="1:13">
      <c r="A51" s="28">
        <v>2.2999999999999998</v>
      </c>
      <c r="B51" s="29" t="s">
        <v>7</v>
      </c>
      <c r="C51" s="41">
        <f>SUM(C52:C55)</f>
        <v>3000000000</v>
      </c>
      <c r="D51" s="41">
        <f t="shared" ref="D51:M51" si="5">SUM(D52:D55)</f>
        <v>190554448</v>
      </c>
      <c r="E51" s="41">
        <f t="shared" si="5"/>
        <v>220809485</v>
      </c>
      <c r="F51" s="41">
        <f t="shared" si="5"/>
        <v>398505277</v>
      </c>
      <c r="G51" s="41">
        <f t="shared" si="5"/>
        <v>341003083</v>
      </c>
      <c r="H51" s="41">
        <f t="shared" si="5"/>
        <v>308662673</v>
      </c>
      <c r="I51" s="41">
        <f t="shared" si="5"/>
        <v>181263017</v>
      </c>
      <c r="J51" s="41">
        <f t="shared" si="5"/>
        <v>193090622</v>
      </c>
      <c r="K51" s="41">
        <f t="shared" si="5"/>
        <v>239017785</v>
      </c>
      <c r="L51" s="41">
        <v>269986626</v>
      </c>
      <c r="M51" s="41">
        <f t="shared" si="5"/>
        <v>2342893016</v>
      </c>
    </row>
    <row r="52" spans="1:13">
      <c r="A52" s="30" t="s">
        <v>171</v>
      </c>
      <c r="B52" s="32" t="s">
        <v>172</v>
      </c>
      <c r="C52" s="42">
        <v>1300000000</v>
      </c>
      <c r="D52" s="42">
        <f>+'[1]cuadre por cuentas 20170101 al '!$D$136</f>
        <v>65545371</v>
      </c>
      <c r="E52" s="42">
        <f>+'[2]cuadre por cuentas 20170201 al '!$D$129</f>
        <v>72648514</v>
      </c>
      <c r="F52" s="42">
        <f>+'[3]cuadre por cuentas 20170301 al '!$D$130</f>
        <v>98077252</v>
      </c>
      <c r="G52" s="42">
        <f>+'[4]cuadre por cuentas 20170401 al '!$D$130</f>
        <v>68372059</v>
      </c>
      <c r="H52" s="42">
        <f>+'[5]cuadre por cuentas 20170501 al '!$D$130</f>
        <v>68428433</v>
      </c>
      <c r="I52" s="46">
        <f>2926028+1319838+57334441</f>
        <v>61580307</v>
      </c>
      <c r="J52" s="46">
        <f>2563821+11157350+53632252+971888+936247</f>
        <v>69261558</v>
      </c>
      <c r="K52" s="46">
        <v>77299343</v>
      </c>
      <c r="L52" s="46">
        <v>85453785</v>
      </c>
      <c r="M52" s="42">
        <f t="shared" ref="M52:M55" si="6">+D52+E52+F52+G52+H52+I52+J52+K52+L52</f>
        <v>666666622</v>
      </c>
    </row>
    <row r="53" spans="1:13">
      <c r="A53" s="30" t="s">
        <v>173</v>
      </c>
      <c r="B53" s="32" t="s">
        <v>174</v>
      </c>
      <c r="C53" s="42">
        <v>470000000</v>
      </c>
      <c r="D53" s="42">
        <f>+'[1]cuadre por cuentas 20170101 al '!$D$135+'[1]cuadre por cuentas 20170101 al '!$D$137</f>
        <v>52250659</v>
      </c>
      <c r="E53" s="42">
        <f>+'[2]cuadre por cuentas 20170201 al '!$D$128+'[2]cuadre por cuentas 20170201 al '!$D$130</f>
        <v>54622977</v>
      </c>
      <c r="F53" s="42">
        <f>+'[3]cuadre por cuentas 20170301 al '!$D$129+'[3]cuadre por cuentas 20170301 al '!$D$131</f>
        <v>89619990</v>
      </c>
      <c r="G53" s="42">
        <f>+'[4]cuadre por cuentas 20170401 al '!$D$129+'[4]cuadre por cuentas 20170401 al '!$D$131</f>
        <v>66913228</v>
      </c>
      <c r="H53" s="42">
        <f>+'[5]cuadre por cuentas 20170501 al '!$D$129+'[5]cuadre por cuentas 20170501 al '!$D$131</f>
        <v>68764082</v>
      </c>
      <c r="I53" s="46">
        <f>818640+748458+128558+345475+34626705</f>
        <v>36667836</v>
      </c>
      <c r="J53" s="46">
        <f>605418+44071+6171349+31351696+15958102+91238+618801+115836</f>
        <v>54956511</v>
      </c>
      <c r="K53" s="46">
        <v>66108625</v>
      </c>
      <c r="L53" s="46">
        <v>80177302</v>
      </c>
      <c r="M53" s="42">
        <f t="shared" si="6"/>
        <v>570081210</v>
      </c>
    </row>
    <row r="54" spans="1:13">
      <c r="A54" s="33" t="s">
        <v>175</v>
      </c>
      <c r="B54" s="32" t="s">
        <v>177</v>
      </c>
      <c r="C54" s="42">
        <v>610000000</v>
      </c>
      <c r="D54" s="42">
        <f>+'[1]cuadre por cuentas 20170101 al '!$D$139</f>
        <v>27327964</v>
      </c>
      <c r="E54" s="42">
        <f>+'[2]cuadre por cuentas 20170201 al '!$D$132</f>
        <v>34861389</v>
      </c>
      <c r="F54" s="42">
        <f>+'[3]cuadre por cuentas 20170301 al '!$D$133</f>
        <v>79292369</v>
      </c>
      <c r="G54" s="42">
        <f>+'[4]cuadre por cuentas 20170401 al '!$D$133</f>
        <v>75945247</v>
      </c>
      <c r="H54" s="42">
        <f>+'[5]cuadre por cuentas 20170501 al '!$D$133</f>
        <v>68968892</v>
      </c>
      <c r="I54" s="46">
        <f>776125+14657945+30350033</f>
        <v>45784103</v>
      </c>
      <c r="J54" s="46">
        <f>8431+31956689+201526</f>
        <v>32166646</v>
      </c>
      <c r="K54" s="46">
        <f>3954+43092889+212581</f>
        <v>43309424</v>
      </c>
      <c r="L54" s="46">
        <v>47710547</v>
      </c>
      <c r="M54" s="42">
        <f t="shared" si="6"/>
        <v>455366581</v>
      </c>
    </row>
    <row r="55" spans="1:13">
      <c r="A55" s="30" t="s">
        <v>176</v>
      </c>
      <c r="B55" s="32" t="s">
        <v>178</v>
      </c>
      <c r="C55" s="42">
        <v>620000000</v>
      </c>
      <c r="D55" s="42">
        <f>+'[1]cuadre por cuentas 20170101 al '!$D$138</f>
        <v>45430454</v>
      </c>
      <c r="E55" s="42">
        <f>+'[2]cuadre por cuentas 20170201 al '!$D$131</f>
        <v>58676605</v>
      </c>
      <c r="F55" s="42">
        <f>+'[3]cuadre por cuentas 20170301 al '!$D$132</f>
        <v>131515666</v>
      </c>
      <c r="G55" s="42">
        <f>+'[4]cuadre por cuentas 20170401 al '!$D$132</f>
        <v>129772549</v>
      </c>
      <c r="H55" s="42">
        <f>+'[5]cuadre por cuentas 20170501 al '!$D$132</f>
        <v>102501266</v>
      </c>
      <c r="I55" s="46">
        <f>34823042+2407729</f>
        <v>37230771</v>
      </c>
      <c r="J55" s="46">
        <f>36705907</f>
        <v>36705907</v>
      </c>
      <c r="K55" s="46">
        <f>52040960+259433</f>
        <v>52300393</v>
      </c>
      <c r="L55" s="46">
        <v>56644992</v>
      </c>
      <c r="M55" s="42">
        <f t="shared" si="6"/>
        <v>650778603</v>
      </c>
    </row>
    <row r="56" spans="1:13">
      <c r="A56" s="28">
        <v>2.4</v>
      </c>
      <c r="B56" s="29" t="s">
        <v>8</v>
      </c>
      <c r="C56" s="41">
        <v>12000000</v>
      </c>
      <c r="D56" s="41">
        <v>452897</v>
      </c>
      <c r="E56" s="42">
        <v>687945</v>
      </c>
      <c r="F56" s="42">
        <v>0</v>
      </c>
      <c r="G56" s="42">
        <v>0</v>
      </c>
      <c r="H56" s="42"/>
      <c r="I56" s="42"/>
      <c r="J56" s="42"/>
      <c r="K56" s="42"/>
      <c r="L56" s="42"/>
      <c r="M56" s="41">
        <f t="shared" ref="M56" si="7">+D56+E56+F56+G56+H56+I56</f>
        <v>1140842</v>
      </c>
    </row>
    <row r="57" spans="1:13">
      <c r="A57" s="28">
        <v>2.5</v>
      </c>
      <c r="B57" s="29" t="s">
        <v>9</v>
      </c>
      <c r="C57" s="41">
        <v>1000000</v>
      </c>
      <c r="D57" s="41">
        <v>0</v>
      </c>
      <c r="E57" s="42"/>
      <c r="F57" s="42">
        <v>0</v>
      </c>
      <c r="G57" s="42">
        <v>0</v>
      </c>
      <c r="H57" s="42"/>
      <c r="I57" s="42"/>
      <c r="J57" s="42"/>
      <c r="K57" s="42"/>
      <c r="L57" s="42"/>
      <c r="M57" s="41">
        <f>+D57+E57+F57+G57+H57</f>
        <v>0</v>
      </c>
    </row>
    <row r="58" spans="1:13" ht="15.75" customHeight="1">
      <c r="A58" s="35"/>
      <c r="B58" s="36" t="s">
        <v>179</v>
      </c>
      <c r="C58" s="43">
        <f>C49+C50+C51+C56+C57</f>
        <v>3023000000</v>
      </c>
      <c r="D58" s="43">
        <f t="shared" ref="D58:L58" si="8">D49+D50+D51+D56+D57</f>
        <v>191007345</v>
      </c>
      <c r="E58" s="43">
        <f>E49+E50+E51+E56+E57</f>
        <v>221497430</v>
      </c>
      <c r="F58" s="43">
        <f t="shared" si="8"/>
        <v>398505277</v>
      </c>
      <c r="G58" s="43">
        <f t="shared" si="8"/>
        <v>341003083</v>
      </c>
      <c r="H58" s="43">
        <f t="shared" si="8"/>
        <v>308662673</v>
      </c>
      <c r="I58" s="43">
        <f t="shared" si="8"/>
        <v>181263017</v>
      </c>
      <c r="J58" s="43">
        <f t="shared" si="8"/>
        <v>193090622</v>
      </c>
      <c r="K58" s="43">
        <f t="shared" si="8"/>
        <v>239017785</v>
      </c>
      <c r="L58" s="43">
        <f t="shared" si="8"/>
        <v>269986626</v>
      </c>
      <c r="M58" s="43">
        <f>M49+M50+M51+M56+M57</f>
        <v>2344033858</v>
      </c>
    </row>
    <row r="59" spans="1:13" ht="13.5">
      <c r="A59" s="70" t="s">
        <v>183</v>
      </c>
      <c r="B59" s="70"/>
      <c r="C59" s="44">
        <f>+C47+C58</f>
        <v>12253000000</v>
      </c>
      <c r="D59" s="44">
        <f t="shared" ref="D59:M59" si="9">+D47+D58</f>
        <v>593517391</v>
      </c>
      <c r="E59" s="44">
        <f t="shared" si="9"/>
        <v>740674449</v>
      </c>
      <c r="F59" s="44">
        <f t="shared" si="9"/>
        <v>953427178</v>
      </c>
      <c r="G59" s="44">
        <f t="shared" si="9"/>
        <v>787970386</v>
      </c>
      <c r="H59" s="44">
        <f t="shared" si="9"/>
        <v>771503184</v>
      </c>
      <c r="I59" s="44">
        <f t="shared" si="9"/>
        <v>604382429</v>
      </c>
      <c r="J59" s="44">
        <f t="shared" si="9"/>
        <v>485977313</v>
      </c>
      <c r="K59" s="44">
        <f t="shared" si="9"/>
        <v>742379057</v>
      </c>
      <c r="L59" s="44">
        <f t="shared" si="9"/>
        <v>528982911</v>
      </c>
      <c r="M59" s="44">
        <f t="shared" si="9"/>
        <v>6208814298</v>
      </c>
    </row>
    <row r="60" spans="1:13">
      <c r="G60" s="38"/>
      <c r="H60" s="38"/>
      <c r="I60" s="38"/>
      <c r="J60" s="38"/>
      <c r="K60" s="38"/>
      <c r="L60" s="38"/>
      <c r="M60" s="37"/>
    </row>
    <row r="61" spans="1:13">
      <c r="C61" s="37"/>
      <c r="E61" s="40"/>
      <c r="F61" s="40"/>
      <c r="G61" s="40"/>
      <c r="H61" s="40"/>
      <c r="I61" s="40"/>
      <c r="J61" s="40"/>
      <c r="K61" s="45"/>
      <c r="L61" s="45"/>
      <c r="M61" s="45"/>
    </row>
    <row r="62" spans="1:13">
      <c r="C62" s="40"/>
      <c r="K62" s="45"/>
      <c r="L62" s="45"/>
      <c r="M62" s="45"/>
    </row>
    <row r="63" spans="1:13">
      <c r="C63" s="37"/>
    </row>
    <row r="64" spans="1:13">
      <c r="C64" s="39"/>
    </row>
    <row r="65" spans="2:13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2:13" ht="12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2:13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2:13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2:13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2:13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2:13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2:13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2:13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2:13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</sheetData>
  <mergeCells count="14">
    <mergeCell ref="A59:B59"/>
    <mergeCell ref="M1:M2"/>
    <mergeCell ref="E1:E2"/>
    <mergeCell ref="F1:F2"/>
    <mergeCell ref="G1:G2"/>
    <mergeCell ref="H1:H2"/>
    <mergeCell ref="I1:I2"/>
    <mergeCell ref="A1:A2"/>
    <mergeCell ref="B1:B2"/>
    <mergeCell ref="C1:C2"/>
    <mergeCell ref="D1:D2"/>
    <mergeCell ref="J1:J2"/>
    <mergeCell ref="K1:K2"/>
    <mergeCell ref="L1:L2"/>
  </mergeCells>
  <pageMargins left="3.79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workbookViewId="0">
      <pane xSplit="3" topLeftCell="J1" activePane="topRight" state="frozen"/>
      <selection pane="topRight" activeCell="R9" sqref="R9"/>
    </sheetView>
  </sheetViews>
  <sheetFormatPr baseColWidth="10" defaultRowHeight="15"/>
  <cols>
    <col min="1" max="1" width="8.7109375" customWidth="1"/>
    <col min="2" max="2" width="29.28515625" customWidth="1"/>
    <col min="3" max="3" width="12.28515625" bestFit="1" customWidth="1"/>
    <col min="4" max="8" width="12.28515625" hidden="1" customWidth="1"/>
    <col min="9" max="9" width="13.85546875" hidden="1" customWidth="1"/>
    <col min="10" max="17" width="0" hidden="1" customWidth="1"/>
  </cols>
  <sheetData>
    <row r="1" spans="1:23" ht="15" customHeight="1">
      <c r="A1" s="66" t="s">
        <v>87</v>
      </c>
      <c r="B1" s="66" t="s">
        <v>88</v>
      </c>
      <c r="C1" s="66" t="s">
        <v>180</v>
      </c>
      <c r="D1" s="77" t="s">
        <v>212</v>
      </c>
      <c r="E1" s="71" t="s">
        <v>213</v>
      </c>
      <c r="F1" s="73" t="s">
        <v>214</v>
      </c>
      <c r="G1" s="71" t="s">
        <v>215</v>
      </c>
      <c r="H1" s="73" t="s">
        <v>216</v>
      </c>
      <c r="I1" s="71" t="s">
        <v>217</v>
      </c>
      <c r="J1" s="73" t="s">
        <v>218</v>
      </c>
      <c r="K1" s="71" t="s">
        <v>219</v>
      </c>
      <c r="L1" s="73" t="s">
        <v>220</v>
      </c>
      <c r="M1" s="71" t="s">
        <v>221</v>
      </c>
      <c r="N1" s="73" t="s">
        <v>222</v>
      </c>
      <c r="O1" s="71" t="s">
        <v>223</v>
      </c>
      <c r="P1" s="73" t="s">
        <v>224</v>
      </c>
      <c r="Q1" s="71" t="s">
        <v>225</v>
      </c>
      <c r="R1" s="73" t="s">
        <v>226</v>
      </c>
      <c r="S1" s="71" t="s">
        <v>227</v>
      </c>
      <c r="T1" s="73" t="s">
        <v>228</v>
      </c>
      <c r="U1" s="71" t="s">
        <v>229</v>
      </c>
      <c r="V1" s="75" t="s">
        <v>230</v>
      </c>
      <c r="W1" s="71" t="s">
        <v>231</v>
      </c>
    </row>
    <row r="2" spans="1:23" ht="21.75" customHeight="1">
      <c r="A2" s="67"/>
      <c r="B2" s="67"/>
      <c r="C2" s="67"/>
      <c r="D2" s="78"/>
      <c r="E2" s="72"/>
      <c r="F2" s="74"/>
      <c r="G2" s="72"/>
      <c r="H2" s="74"/>
      <c r="I2" s="72"/>
      <c r="J2" s="74"/>
      <c r="K2" s="72"/>
      <c r="L2" s="74"/>
      <c r="M2" s="72"/>
      <c r="N2" s="74"/>
      <c r="O2" s="72"/>
      <c r="P2" s="74"/>
      <c r="Q2" s="72"/>
      <c r="R2" s="74"/>
      <c r="S2" s="72"/>
      <c r="T2" s="74"/>
      <c r="U2" s="72"/>
      <c r="V2" s="76"/>
      <c r="W2" s="72"/>
    </row>
    <row r="3" spans="1:23">
      <c r="A3" s="28">
        <v>1.1000000000000001</v>
      </c>
      <c r="B3" s="29" t="s">
        <v>2</v>
      </c>
      <c r="C3" s="41">
        <f>SUM(C4)</f>
        <v>1430000000</v>
      </c>
      <c r="D3" s="41">
        <f t="shared" ref="D3:U3" si="0">SUM(D4)</f>
        <v>47700000</v>
      </c>
      <c r="E3" s="41">
        <f t="shared" si="0"/>
        <v>47700000</v>
      </c>
      <c r="F3" s="41">
        <f t="shared" si="0"/>
        <v>95923000</v>
      </c>
      <c r="G3" s="41">
        <f t="shared" si="0"/>
        <v>95923000</v>
      </c>
      <c r="H3" s="41">
        <f t="shared" si="0"/>
        <v>250800000</v>
      </c>
      <c r="I3" s="41">
        <f t="shared" si="0"/>
        <v>250800000</v>
      </c>
      <c r="J3" s="41">
        <f t="shared" si="0"/>
        <v>204000000</v>
      </c>
      <c r="K3" s="41">
        <f t="shared" si="0"/>
        <v>204000000</v>
      </c>
      <c r="L3" s="41">
        <f t="shared" si="0"/>
        <v>211000000</v>
      </c>
      <c r="M3" s="41">
        <f t="shared" si="0"/>
        <v>211000000</v>
      </c>
      <c r="N3" s="41">
        <f t="shared" si="0"/>
        <v>210000000</v>
      </c>
      <c r="O3" s="41">
        <f t="shared" si="0"/>
        <v>210000000</v>
      </c>
      <c r="P3" s="41">
        <f t="shared" si="0"/>
        <v>74636131</v>
      </c>
      <c r="Q3" s="41">
        <f t="shared" si="0"/>
        <v>74636131</v>
      </c>
      <c r="R3" s="41">
        <f t="shared" si="0"/>
        <v>249462268</v>
      </c>
      <c r="S3" s="41">
        <f t="shared" si="0"/>
        <v>249462268</v>
      </c>
      <c r="T3" s="41">
        <f t="shared" si="0"/>
        <v>11360000</v>
      </c>
      <c r="U3" s="41">
        <f t="shared" si="0"/>
        <v>11360000</v>
      </c>
      <c r="V3" s="41">
        <f>SUM(V4)</f>
        <v>1354881399</v>
      </c>
      <c r="W3" s="41">
        <f>+E3+G3+I3+K3+M3+O3+Q3+S3+U3</f>
        <v>1354881399</v>
      </c>
    </row>
    <row r="4" spans="1:23">
      <c r="A4" s="30" t="s">
        <v>89</v>
      </c>
      <c r="B4" s="31" t="s">
        <v>90</v>
      </c>
      <c r="C4" s="42">
        <v>1430000000</v>
      </c>
      <c r="D4" s="42">
        <v>47700000</v>
      </c>
      <c r="E4" s="42">
        <v>47700000</v>
      </c>
      <c r="F4" s="42">
        <v>95923000</v>
      </c>
      <c r="G4" s="42">
        <v>95923000</v>
      </c>
      <c r="H4" s="42">
        <v>250800000</v>
      </c>
      <c r="I4" s="42">
        <v>250800000</v>
      </c>
      <c r="J4" s="42">
        <v>204000000</v>
      </c>
      <c r="K4" s="42">
        <v>204000000</v>
      </c>
      <c r="L4" s="42">
        <v>211000000</v>
      </c>
      <c r="M4" s="42">
        <v>211000000</v>
      </c>
      <c r="N4" s="42">
        <v>210000000</v>
      </c>
      <c r="O4" s="42">
        <v>210000000</v>
      </c>
      <c r="P4" s="42">
        <v>74636131</v>
      </c>
      <c r="Q4" s="42">
        <v>74636131</v>
      </c>
      <c r="R4" s="42">
        <v>249462268</v>
      </c>
      <c r="S4" s="42">
        <f>+R4</f>
        <v>249462268</v>
      </c>
      <c r="T4" s="42">
        <v>11360000</v>
      </c>
      <c r="U4" s="42">
        <v>11360000</v>
      </c>
      <c r="V4" s="42">
        <f>D4+F4+H4+J4+L4+N4+P4+R4+T4</f>
        <v>1354881399</v>
      </c>
      <c r="W4" s="42">
        <f>+E4+G4+I4+K4+M4+O4+Q4+S4+U4</f>
        <v>1354881399</v>
      </c>
    </row>
    <row r="5" spans="1:23">
      <c r="A5" s="28">
        <v>1.2</v>
      </c>
      <c r="B5" s="29" t="s">
        <v>3</v>
      </c>
      <c r="C5" s="41">
        <f>SUM(C6:C46)</f>
        <v>7800000000</v>
      </c>
      <c r="D5" s="41">
        <f t="shared" ref="D5:U5" si="1">SUM(D6:D46)</f>
        <v>237538529</v>
      </c>
      <c r="E5" s="41">
        <f t="shared" si="1"/>
        <v>237538529</v>
      </c>
      <c r="F5" s="41">
        <f t="shared" si="1"/>
        <v>281166433</v>
      </c>
      <c r="G5" s="41">
        <f t="shared" si="1"/>
        <v>281166433</v>
      </c>
      <c r="H5" s="41">
        <f t="shared" si="1"/>
        <v>304121901</v>
      </c>
      <c r="I5" s="41">
        <f t="shared" si="1"/>
        <v>304121901</v>
      </c>
      <c r="J5" s="41">
        <f t="shared" si="1"/>
        <v>242967303</v>
      </c>
      <c r="K5" s="41">
        <f t="shared" si="1"/>
        <v>242967303</v>
      </c>
      <c r="L5" s="41">
        <f t="shared" si="1"/>
        <v>251840511</v>
      </c>
      <c r="M5" s="41">
        <f t="shared" si="1"/>
        <v>251840511</v>
      </c>
      <c r="N5" s="41">
        <f t="shared" si="1"/>
        <v>213119412</v>
      </c>
      <c r="O5" s="41">
        <f t="shared" si="1"/>
        <v>209168279</v>
      </c>
      <c r="P5" s="41">
        <f t="shared" si="1"/>
        <v>218250560</v>
      </c>
      <c r="Q5" s="41">
        <f t="shared" si="1"/>
        <v>205937674</v>
      </c>
      <c r="R5" s="41">
        <f t="shared" si="1"/>
        <v>243590409</v>
      </c>
      <c r="S5" s="41">
        <f t="shared" si="1"/>
        <v>249723025</v>
      </c>
      <c r="T5" s="41">
        <f t="shared" si="1"/>
        <v>281786641</v>
      </c>
      <c r="U5" s="41">
        <f t="shared" si="1"/>
        <v>251737250</v>
      </c>
      <c r="V5" s="41">
        <f>SUM(V6:V46)</f>
        <v>2274381699</v>
      </c>
      <c r="W5" s="41">
        <f>SUM(W6:W46)</f>
        <v>2234200905</v>
      </c>
    </row>
    <row r="6" spans="1:23">
      <c r="A6" s="30" t="s">
        <v>91</v>
      </c>
      <c r="B6" s="31" t="s">
        <v>92</v>
      </c>
      <c r="C6" s="42">
        <v>3200000000</v>
      </c>
      <c r="D6" s="42">
        <v>78685180</v>
      </c>
      <c r="E6" s="61">
        <f>+'[1]cuadre por cuentas 20170101 al '!$D$113</f>
        <v>78685180</v>
      </c>
      <c r="F6" s="42">
        <v>84480991</v>
      </c>
      <c r="G6" s="42">
        <f>+'[2]cuadre por cuentas 20170201 al '!$D$107</f>
        <v>84480991</v>
      </c>
      <c r="H6" s="42">
        <v>91208960</v>
      </c>
      <c r="I6" s="61">
        <f>+'[3]cuadre por cuentas 20170301 al '!$D$107</f>
        <v>91208960</v>
      </c>
      <c r="J6" s="42">
        <v>86613097</v>
      </c>
      <c r="K6" s="61">
        <f>+'[4]cuadre por cuentas 20170401 al '!$D$107</f>
        <v>86613097</v>
      </c>
      <c r="L6" s="42">
        <v>78949809</v>
      </c>
      <c r="M6" s="42">
        <f>+'[5]cuadre por cuentas 20170501 al '!$D$107</f>
        <v>78949809</v>
      </c>
      <c r="N6" s="42">
        <v>44314183</v>
      </c>
      <c r="O6" s="61">
        <f>+'[6]cuadre por cuentas 20170601 al '!$D$107</f>
        <v>52797229</v>
      </c>
      <c r="P6" s="42">
        <v>63102350</v>
      </c>
      <c r="Q6" s="61">
        <f>+'[7]cuadre por cuentas 20170701 al '!$D$123</f>
        <v>63102350</v>
      </c>
      <c r="R6" s="62">
        <v>84079417</v>
      </c>
      <c r="S6" s="61">
        <f>+'[8]cuadre por cuentas 20170801 al '!$H$124</f>
        <v>98999275</v>
      </c>
      <c r="T6" s="62">
        <v>118020451</v>
      </c>
      <c r="U6" s="61">
        <f>+'[9]cuadre por cuentas 20170901 al '!$D$124</f>
        <v>103100593</v>
      </c>
      <c r="V6" s="42">
        <f>D6+F6+H6+J6+L6+N6+P6+R6+T6</f>
        <v>729454438</v>
      </c>
      <c r="W6" s="42">
        <f>+E6+G6+I6+K6+M6+O6+Q6+S6+U6</f>
        <v>737937484</v>
      </c>
    </row>
    <row r="7" spans="1:23">
      <c r="A7" s="30" t="s">
        <v>93</v>
      </c>
      <c r="B7" s="31" t="s">
        <v>94</v>
      </c>
      <c r="C7" s="42">
        <v>365000000</v>
      </c>
      <c r="D7" s="42">
        <v>16918630</v>
      </c>
      <c r="E7" s="61">
        <f>+'[1]cuadre por cuentas 20170101 al '!$D$150</f>
        <v>16918630</v>
      </c>
      <c r="F7" s="42">
        <v>16040634</v>
      </c>
      <c r="G7" s="42">
        <f>+'[2]cuadre por cuentas 20170201 al '!$D$142</f>
        <v>16040634</v>
      </c>
      <c r="H7" s="42">
        <v>17365464</v>
      </c>
      <c r="I7" s="61">
        <f>+'[3]cuadre por cuentas 20170301 al '!$D$144</f>
        <v>17365464</v>
      </c>
      <c r="J7" s="42">
        <v>14613894</v>
      </c>
      <c r="K7" s="61">
        <f>+'[4]cuadre por cuentas 20170401 al '!$D$144</f>
        <v>14613894</v>
      </c>
      <c r="L7" s="42">
        <v>19138698</v>
      </c>
      <c r="M7" s="42">
        <f>+'[5]cuadre por cuentas 20170501 al '!$D$144</f>
        <v>19138698</v>
      </c>
      <c r="N7" s="42">
        <v>29839835</v>
      </c>
      <c r="O7" s="61">
        <f>+'[6]cuadre por cuentas 20170601 al '!$D$144</f>
        <v>13350210</v>
      </c>
      <c r="P7" s="42">
        <v>29019809</v>
      </c>
      <c r="Q7" s="61">
        <f>+'[7]cuadre por cuentas 20170701 al '!$D$160</f>
        <v>12983334</v>
      </c>
      <c r="R7" s="62">
        <v>28518682</v>
      </c>
      <c r="S7" s="61">
        <f>+'[8]cuadre por cuentas 20170801 al '!$H$161</f>
        <v>12759132</v>
      </c>
      <c r="T7" s="62">
        <v>26741959</v>
      </c>
      <c r="U7" s="61">
        <f>+'[9]cuadre por cuentas 20170901 al '!$D$161</f>
        <v>11964234</v>
      </c>
      <c r="V7" s="42">
        <f t="shared" ref="V7:V46" si="2">D7+F7+H7+J7+L7+N7+P7+R7+T7</f>
        <v>198197605</v>
      </c>
      <c r="W7" s="42">
        <f t="shared" ref="W7:W46" si="3">+E7+G7+I7+K7+M7+O7+Q7+S7+U7</f>
        <v>135134230</v>
      </c>
    </row>
    <row r="8" spans="1:23">
      <c r="A8" s="30" t="s">
        <v>95</v>
      </c>
      <c r="B8" s="31" t="s">
        <v>96</v>
      </c>
      <c r="C8" s="42">
        <v>60000000</v>
      </c>
      <c r="D8" s="42">
        <v>2189046</v>
      </c>
      <c r="E8" s="61">
        <f>+'[1]cuadre por cuentas 20170101 al '!$D$133</f>
        <v>2189046</v>
      </c>
      <c r="F8" s="42">
        <v>1674495</v>
      </c>
      <c r="G8" s="42">
        <f>+'[2]cuadre por cuentas 20170201 al '!$D$126</f>
        <v>1674495</v>
      </c>
      <c r="H8" s="42">
        <v>6363081</v>
      </c>
      <c r="I8" s="61">
        <f>+'[3]cuadre por cuentas 20170301 al '!$D$127</f>
        <v>6363081</v>
      </c>
      <c r="J8" s="42">
        <v>4800219</v>
      </c>
      <c r="K8" s="61">
        <f>+'[4]cuadre por cuentas 20170401 al '!$D$127</f>
        <v>4800219</v>
      </c>
      <c r="L8" s="42">
        <v>1748917</v>
      </c>
      <c r="M8" s="42">
        <f>+'[5]cuadre por cuentas 20170501 al '!$D$127</f>
        <v>1748917</v>
      </c>
      <c r="N8" s="42">
        <v>1153541</v>
      </c>
      <c r="O8" s="61">
        <f>+'[6]cuadre por cuentas 20170601 al '!$D$127</f>
        <v>1153541</v>
      </c>
      <c r="P8" s="42">
        <v>1600073</v>
      </c>
      <c r="Q8" s="61">
        <f>+'[7]cuadre por cuentas 20170701 al '!$D$143</f>
        <v>1600073</v>
      </c>
      <c r="R8" s="62">
        <v>1227963</v>
      </c>
      <c r="S8" s="61">
        <f>+'[8]cuadre por cuentas 20170801 al '!$H$144</f>
        <v>1227963</v>
      </c>
      <c r="T8" s="62">
        <v>3311779</v>
      </c>
      <c r="U8" s="61">
        <f>+'[9]cuadre por cuentas 20170901 al '!$D$144</f>
        <v>3311779</v>
      </c>
      <c r="V8" s="42">
        <f t="shared" si="2"/>
        <v>24069114</v>
      </c>
      <c r="W8" s="42">
        <f t="shared" si="3"/>
        <v>24069114</v>
      </c>
    </row>
    <row r="9" spans="1:23">
      <c r="A9" s="30" t="s">
        <v>97</v>
      </c>
      <c r="B9" s="31" t="s">
        <v>98</v>
      </c>
      <c r="C9" s="42">
        <v>1764000000</v>
      </c>
      <c r="D9" s="42"/>
      <c r="E9" s="61"/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40658491</v>
      </c>
      <c r="O9" s="42"/>
      <c r="P9" s="42">
        <v>36114921</v>
      </c>
      <c r="Q9" s="42"/>
      <c r="R9" s="62">
        <v>35547833</v>
      </c>
      <c r="S9" s="42">
        <v>0</v>
      </c>
      <c r="T9" s="62">
        <v>34273808</v>
      </c>
      <c r="U9" s="42"/>
      <c r="V9" s="42">
        <f t="shared" si="2"/>
        <v>146595053</v>
      </c>
      <c r="W9" s="42">
        <f t="shared" si="3"/>
        <v>0</v>
      </c>
    </row>
    <row r="10" spans="1:23">
      <c r="A10" s="30" t="s">
        <v>99</v>
      </c>
      <c r="B10" s="31" t="s">
        <v>100</v>
      </c>
      <c r="C10" s="42">
        <v>26000000</v>
      </c>
      <c r="D10" s="42">
        <v>923412</v>
      </c>
      <c r="E10" s="61">
        <f>+'[1]cuadre por cuentas 20170101 al '!$D$109</f>
        <v>923412</v>
      </c>
      <c r="F10" s="42">
        <v>726840</v>
      </c>
      <c r="G10" s="42">
        <f>+'[2]cuadre por cuentas 20170201 al '!$D$103</f>
        <v>726840</v>
      </c>
      <c r="H10" s="42">
        <v>759144</v>
      </c>
      <c r="I10" s="61">
        <f>+'[3]cuadre por cuentas 20170301 al '!$D$103</f>
        <v>759144</v>
      </c>
      <c r="J10" s="42">
        <v>662232</v>
      </c>
      <c r="K10" s="61">
        <f>+'[4]cuadre por cuentas 20170401 al '!$D$103</f>
        <v>662232</v>
      </c>
      <c r="L10" s="42">
        <v>662232</v>
      </c>
      <c r="M10" s="42">
        <f>+'[5]cuadre por cuentas 20170501 al '!$D$103</f>
        <v>662232</v>
      </c>
      <c r="N10" s="42">
        <v>791448</v>
      </c>
      <c r="O10" s="61">
        <f>+'[6]cuadre por cuentas 20170601 al '!$D$103</f>
        <v>791448</v>
      </c>
      <c r="P10" s="42">
        <v>565320</v>
      </c>
      <c r="Q10" s="61">
        <f>+'[7]cuadre por cuentas 20170701 al '!$D$119</f>
        <v>565320</v>
      </c>
      <c r="R10" s="62">
        <v>678384</v>
      </c>
      <c r="S10" s="61">
        <f>+'[8]cuadre por cuentas 20170801 al '!$H$120</f>
        <v>678384</v>
      </c>
      <c r="T10" s="62">
        <v>1082184</v>
      </c>
      <c r="U10" s="61">
        <f>+'[9]cuadre por cuentas 20170901 al '!$D$120</f>
        <v>1082184</v>
      </c>
      <c r="V10" s="42">
        <f t="shared" si="2"/>
        <v>6851196</v>
      </c>
      <c r="W10" s="42">
        <f t="shared" si="3"/>
        <v>6851196</v>
      </c>
    </row>
    <row r="11" spans="1:23">
      <c r="A11" s="30" t="s">
        <v>101</v>
      </c>
      <c r="B11" s="31" t="s">
        <v>102</v>
      </c>
      <c r="C11" s="42">
        <v>38000000</v>
      </c>
      <c r="D11" s="42">
        <v>1143372</v>
      </c>
      <c r="E11" s="61">
        <f>+'[1]cuadre por cuentas 20170101 al '!$D$116</f>
        <v>1143372</v>
      </c>
      <c r="F11" s="42">
        <v>1114419</v>
      </c>
      <c r="G11" s="42">
        <f>+'[2]cuadre por cuentas 20170201 al '!$D$110</f>
        <v>1114419</v>
      </c>
      <c r="H11" s="42">
        <v>1259782</v>
      </c>
      <c r="I11" s="61">
        <f>+'[3]cuadre por cuentas 20170301 al '!$D$110</f>
        <v>1259782</v>
      </c>
      <c r="J11" s="42">
        <v>839904</v>
      </c>
      <c r="K11" s="61">
        <f>+'[4]cuadre por cuentas 20170401 al '!$D$110</f>
        <v>839904</v>
      </c>
      <c r="L11" s="42">
        <v>1001424</v>
      </c>
      <c r="M11" s="42">
        <f>+'[5]cuadre por cuentas 20170501 al '!$D$110</f>
        <v>1001424</v>
      </c>
      <c r="N11" s="42">
        <v>1276008</v>
      </c>
      <c r="O11" s="61">
        <f>+'[6]cuadre por cuentas 20170601 al '!$D$110</f>
        <v>1276008</v>
      </c>
      <c r="P11" s="42">
        <v>985272</v>
      </c>
      <c r="Q11" s="61">
        <f>+'[7]cuadre por cuentas 20170701 al '!$D$126</f>
        <v>985272</v>
      </c>
      <c r="R11" s="62">
        <v>1001424</v>
      </c>
      <c r="S11" s="61">
        <f>+'[8]cuadre por cuentas 20170801 al '!$H$127</f>
        <v>1001424</v>
      </c>
      <c r="T11" s="62">
        <v>1453680</v>
      </c>
      <c r="U11" s="61">
        <f>+'[9]cuadre por cuentas 20170901 al '!$D$127</f>
        <v>1453680</v>
      </c>
      <c r="V11" s="42">
        <f t="shared" si="2"/>
        <v>10075285</v>
      </c>
      <c r="W11" s="42">
        <f t="shared" si="3"/>
        <v>10075285</v>
      </c>
    </row>
    <row r="12" spans="1:23">
      <c r="A12" s="30" t="s">
        <v>103</v>
      </c>
      <c r="B12" s="31" t="s">
        <v>104</v>
      </c>
      <c r="C12" s="42">
        <v>95000000</v>
      </c>
      <c r="D12" s="42">
        <v>5136620</v>
      </c>
      <c r="E12" s="61">
        <f>+'[1]cuadre por cuentas 20170101 al '!$D$124</f>
        <v>5136620</v>
      </c>
      <c r="F12" s="42">
        <v>7563611</v>
      </c>
      <c r="G12" s="42">
        <f>+'[2]cuadre por cuentas 20170201 al '!$D$117</f>
        <v>7563611</v>
      </c>
      <c r="H12" s="42">
        <v>11198564</v>
      </c>
      <c r="I12" s="61">
        <f>+'[3]cuadre por cuentas 20170301 al '!$D$118</f>
        <v>11198564</v>
      </c>
      <c r="J12" s="42">
        <v>8175667</v>
      </c>
      <c r="K12" s="61">
        <f>+'[4]cuadre por cuentas 20170401 al '!$D$118</f>
        <v>8175667</v>
      </c>
      <c r="L12" s="42">
        <v>6883478</v>
      </c>
      <c r="M12" s="42">
        <f>+'[5]cuadre por cuentas 20170501 al '!$D$118</f>
        <v>6883478</v>
      </c>
      <c r="N12" s="42">
        <v>5061103</v>
      </c>
      <c r="O12" s="61">
        <f>+'[6]cuadre por cuentas 20170601 al '!$D$118</f>
        <v>5061103</v>
      </c>
      <c r="P12" s="42">
        <v>4011185</v>
      </c>
      <c r="Q12" s="61">
        <f>+'[7]cuadre por cuentas 20170701 al '!$D$134</f>
        <v>4011185</v>
      </c>
      <c r="R12" s="62">
        <v>6331301</v>
      </c>
      <c r="S12" s="61">
        <f>+'[8]cuadre por cuentas 20170801 al '!$H$135</f>
        <v>6331301</v>
      </c>
      <c r="T12" s="62">
        <v>8094786</v>
      </c>
      <c r="U12" s="61">
        <f>+'[9]cuadre por cuentas 20170901 al '!$D$135</f>
        <v>8094786</v>
      </c>
      <c r="V12" s="42">
        <f t="shared" si="2"/>
        <v>62456315</v>
      </c>
      <c r="W12" s="42">
        <f t="shared" si="3"/>
        <v>62456315</v>
      </c>
    </row>
    <row r="13" spans="1:23">
      <c r="A13" s="30" t="s">
        <v>105</v>
      </c>
      <c r="B13" s="31" t="s">
        <v>106</v>
      </c>
      <c r="C13" s="42">
        <v>5000000</v>
      </c>
      <c r="D13" s="42">
        <v>76257</v>
      </c>
      <c r="E13" s="61">
        <f>+'[1]cuadre por cuentas 20170101 al '!$D$111</f>
        <v>76257</v>
      </c>
      <c r="F13" s="42">
        <v>80642</v>
      </c>
      <c r="G13" s="42">
        <f>+'[2]cuadre por cuentas 20170201 al '!$D$105</f>
        <v>80642</v>
      </c>
      <c r="H13" s="42">
        <v>0</v>
      </c>
      <c r="I13" s="42">
        <f>+'[3]cuadre por cuentas 20170301 al '!$D$105</f>
        <v>0</v>
      </c>
      <c r="J13" s="42">
        <v>80642</v>
      </c>
      <c r="K13" s="61">
        <f>+'[4]cuadre por cuentas 20170401 al '!$D$105</f>
        <v>80642</v>
      </c>
      <c r="L13" s="42">
        <v>0</v>
      </c>
      <c r="M13" s="42">
        <v>0</v>
      </c>
      <c r="N13" s="42">
        <v>123456</v>
      </c>
      <c r="O13" s="61">
        <f>+'[6]cuadre por cuentas 20170601 al '!$D$105</f>
        <v>0</v>
      </c>
      <c r="P13" s="42">
        <v>0</v>
      </c>
      <c r="Q13" s="61"/>
      <c r="R13" s="62">
        <v>0</v>
      </c>
      <c r="S13" s="61">
        <f>+'[8]cuadre por cuentas 20170801 al '!$H$122</f>
        <v>0</v>
      </c>
      <c r="T13" s="62">
        <v>0</v>
      </c>
      <c r="U13" s="61">
        <f>+'[9]cuadre por cuentas 20170901 al '!$D$122</f>
        <v>0</v>
      </c>
      <c r="V13" s="42">
        <f t="shared" si="2"/>
        <v>360997</v>
      </c>
      <c r="W13" s="42">
        <f t="shared" si="3"/>
        <v>237541</v>
      </c>
    </row>
    <row r="14" spans="1:23">
      <c r="A14" s="30" t="s">
        <v>107</v>
      </c>
      <c r="B14" s="31" t="s">
        <v>108</v>
      </c>
      <c r="C14" s="42">
        <v>545000000</v>
      </c>
      <c r="D14" s="42"/>
      <c r="E14" s="61"/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6263399</v>
      </c>
      <c r="O14" s="42"/>
      <c r="P14" s="42">
        <v>6974151</v>
      </c>
      <c r="Q14" s="42"/>
      <c r="R14" s="62">
        <v>7998062</v>
      </c>
      <c r="S14" s="42">
        <v>0</v>
      </c>
      <c r="T14" s="62">
        <v>6595274</v>
      </c>
      <c r="U14" s="42"/>
      <c r="V14" s="42">
        <f t="shared" si="2"/>
        <v>27830886</v>
      </c>
      <c r="W14" s="42">
        <f t="shared" si="3"/>
        <v>0</v>
      </c>
    </row>
    <row r="15" spans="1:23">
      <c r="A15" s="30" t="s">
        <v>109</v>
      </c>
      <c r="B15" s="31" t="s">
        <v>110</v>
      </c>
      <c r="C15" s="42">
        <v>6000000</v>
      </c>
      <c r="D15" s="42">
        <v>456007</v>
      </c>
      <c r="E15" s="61">
        <f>+'[1]cuadre por cuentas 20170101 al '!$D$134</f>
        <v>456007</v>
      </c>
      <c r="F15" s="42">
        <v>330192</v>
      </c>
      <c r="G15" s="42">
        <f>+'[2]cuadre por cuentas 20170201 al '!$D$127</f>
        <v>330192</v>
      </c>
      <c r="H15" s="42">
        <v>715416</v>
      </c>
      <c r="I15" s="42">
        <f>+'[3]cuadre por cuentas 20170301 al '!$D$128</f>
        <v>715416</v>
      </c>
      <c r="J15" s="42">
        <v>348536</v>
      </c>
      <c r="K15" s="61">
        <f>+'[4]cuadre por cuentas 20170401 al '!$D$128</f>
        <v>348536</v>
      </c>
      <c r="L15" s="42">
        <v>495288</v>
      </c>
      <c r="M15" s="42">
        <f>+'[5]cuadre por cuentas 20170501 al '!$D$128</f>
        <v>495288</v>
      </c>
      <c r="N15" s="42">
        <v>421912</v>
      </c>
      <c r="O15" s="61">
        <f>+'[6]cuadre por cuentas 20170601 al '!$D$128</f>
        <v>421912</v>
      </c>
      <c r="P15" s="42">
        <v>440256</v>
      </c>
      <c r="Q15" s="61">
        <f>+'[7]cuadre por cuentas 20170701 al '!$D$144</f>
        <v>440256</v>
      </c>
      <c r="R15" s="62">
        <v>642040</v>
      </c>
      <c r="S15" s="61">
        <f>+'[8]cuadre por cuentas 20170801 al '!$H$145</f>
        <v>642040</v>
      </c>
      <c r="T15" s="62">
        <v>587008</v>
      </c>
      <c r="U15" s="61">
        <f>+'[9]cuadre por cuentas 20170901 al '!$D$145</f>
        <v>587008</v>
      </c>
      <c r="V15" s="42">
        <f t="shared" si="2"/>
        <v>4436655</v>
      </c>
      <c r="W15" s="42">
        <f t="shared" si="3"/>
        <v>4436655</v>
      </c>
    </row>
    <row r="16" spans="1:23">
      <c r="A16" s="30" t="s">
        <v>111</v>
      </c>
      <c r="B16" s="31" t="s">
        <v>112</v>
      </c>
      <c r="C16" s="42">
        <v>1100000000</v>
      </c>
      <c r="D16" s="42">
        <v>34191551</v>
      </c>
      <c r="E16" s="61">
        <f>+'[1]cuadre por cuentas 20170101 al '!$D$117</f>
        <v>34191551</v>
      </c>
      <c r="F16" s="42">
        <v>41279531</v>
      </c>
      <c r="G16" s="42">
        <f>+'[2]cuadre por cuentas 20170201 al '!$D$111</f>
        <v>41279531</v>
      </c>
      <c r="H16" s="42">
        <v>41958241</v>
      </c>
      <c r="I16" s="42">
        <f>+'[3]cuadre por cuentas 20170301 al '!$D$111</f>
        <v>41958241</v>
      </c>
      <c r="J16" s="42">
        <v>28002071</v>
      </c>
      <c r="K16" s="61">
        <f>+'[4]cuadre por cuentas 20170401 al '!$D$111</f>
        <v>28002071</v>
      </c>
      <c r="L16" s="42">
        <v>32378934</v>
      </c>
      <c r="M16" s="42">
        <f>+'[5]cuadre por cuentas 20170501 al '!$D$111</f>
        <v>32378934</v>
      </c>
      <c r="N16" s="42">
        <v>27271352</v>
      </c>
      <c r="O16" s="61">
        <f>+'[6]cuadre por cuentas 20170601 al '!$D$111</f>
        <v>28047477</v>
      </c>
      <c r="P16" s="42">
        <v>21821967</v>
      </c>
      <c r="Q16" s="61">
        <f>+'[7]cuadre por cuentas 20170701 al '!$D$127</f>
        <v>21919895</v>
      </c>
      <c r="R16" s="62">
        <v>20090439</v>
      </c>
      <c r="S16" s="61">
        <f>+'[8]cuadre por cuentas 20170801 al '!$H$128</f>
        <v>20155923</v>
      </c>
      <c r="T16" s="62">
        <v>17131607</v>
      </c>
      <c r="U16" s="61">
        <f>+'[9]cuadre por cuentas 20170901 al '!$D$128</f>
        <v>19304788</v>
      </c>
      <c r="V16" s="42">
        <f t="shared" si="2"/>
        <v>264125693</v>
      </c>
      <c r="W16" s="42">
        <f t="shared" si="3"/>
        <v>267238411</v>
      </c>
    </row>
    <row r="17" spans="1:23">
      <c r="A17" s="30" t="s">
        <v>113</v>
      </c>
      <c r="B17" s="31" t="s">
        <v>114</v>
      </c>
      <c r="C17" s="42">
        <v>96000000</v>
      </c>
      <c r="D17" s="42">
        <v>0</v>
      </c>
      <c r="E17" s="61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16191130</v>
      </c>
      <c r="O17" s="42"/>
      <c r="P17" s="42">
        <v>17529220</v>
      </c>
      <c r="Q17" s="42"/>
      <c r="R17" s="62">
        <v>18406870</v>
      </c>
      <c r="S17" s="42">
        <v>0</v>
      </c>
      <c r="T17" s="62">
        <v>18704210</v>
      </c>
      <c r="U17" s="42"/>
      <c r="V17" s="42">
        <f t="shared" si="2"/>
        <v>70831430</v>
      </c>
      <c r="W17" s="42">
        <f t="shared" si="3"/>
        <v>0</v>
      </c>
    </row>
    <row r="18" spans="1:23">
      <c r="A18" s="30" t="s">
        <v>115</v>
      </c>
      <c r="B18" s="31" t="s">
        <v>116</v>
      </c>
      <c r="C18" s="42">
        <v>18000000</v>
      </c>
      <c r="D18" s="42">
        <v>0</v>
      </c>
      <c r="E18" s="61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15574</v>
      </c>
      <c r="O18" s="42"/>
      <c r="P18" s="42">
        <v>4792</v>
      </c>
      <c r="Q18" s="42"/>
      <c r="R18" s="62">
        <v>9584</v>
      </c>
      <c r="S18" s="42">
        <v>0</v>
      </c>
      <c r="T18" s="62">
        <v>10782</v>
      </c>
      <c r="U18" s="42"/>
      <c r="V18" s="42">
        <f t="shared" si="2"/>
        <v>40732</v>
      </c>
      <c r="W18" s="42">
        <f t="shared" si="3"/>
        <v>0</v>
      </c>
    </row>
    <row r="19" spans="1:23">
      <c r="A19" s="30" t="s">
        <v>117</v>
      </c>
      <c r="B19" s="31" t="s">
        <v>118</v>
      </c>
      <c r="C19" s="42">
        <v>53000000</v>
      </c>
      <c r="D19" s="42">
        <v>0</v>
      </c>
      <c r="E19" s="61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4571694</v>
      </c>
      <c r="O19" s="42"/>
      <c r="P19" s="42">
        <v>4596273</v>
      </c>
      <c r="Q19" s="42"/>
      <c r="R19" s="62">
        <v>5456538</v>
      </c>
      <c r="S19" s="42">
        <v>0</v>
      </c>
      <c r="T19" s="62">
        <v>5407380</v>
      </c>
      <c r="U19" s="42"/>
      <c r="V19" s="42">
        <f t="shared" si="2"/>
        <v>20031885</v>
      </c>
      <c r="W19" s="42">
        <f t="shared" si="3"/>
        <v>0</v>
      </c>
    </row>
    <row r="20" spans="1:23">
      <c r="A20" s="30" t="s">
        <v>119</v>
      </c>
      <c r="B20" s="31" t="s">
        <v>120</v>
      </c>
      <c r="C20" s="42">
        <v>82500000</v>
      </c>
      <c r="D20" s="42">
        <v>4750549</v>
      </c>
      <c r="E20" s="61">
        <f>+'[1]cuadre por cuentas 20170101 al '!$D$126</f>
        <v>4750549</v>
      </c>
      <c r="F20" s="42">
        <v>5984824</v>
      </c>
      <c r="G20" s="42">
        <f>+'[2]cuadre por cuentas 20170201 al '!$D$119</f>
        <v>5984824</v>
      </c>
      <c r="H20" s="42">
        <v>7856853</v>
      </c>
      <c r="I20" s="42">
        <f>+'[3]cuadre por cuentas 20170301 al '!$D$120</f>
        <v>7856853</v>
      </c>
      <c r="J20" s="42">
        <v>6285424</v>
      </c>
      <c r="K20" s="61">
        <f>+'[4]cuadre por cuentas 20170401 al '!$D$120</f>
        <v>6285424</v>
      </c>
      <c r="L20" s="42">
        <v>5940423</v>
      </c>
      <c r="M20" s="42">
        <f>+'[5]cuadre por cuentas 20170501 al '!$D$120</f>
        <v>5940423</v>
      </c>
      <c r="N20" s="42">
        <v>4342230</v>
      </c>
      <c r="O20" s="61">
        <f>+'[6]cuadre por cuentas 20170601 al '!$D$120</f>
        <v>4342230</v>
      </c>
      <c r="P20" s="42">
        <v>2999420</v>
      </c>
      <c r="Q20" s="61">
        <f>+'[7]cuadre por cuentas 20170701 al '!$D$136</f>
        <v>2999420</v>
      </c>
      <c r="R20" s="62">
        <v>9331930</v>
      </c>
      <c r="S20" s="61">
        <f>+'[8]cuadre por cuentas 20170801 al '!$H$137</f>
        <v>3998383</v>
      </c>
      <c r="T20" s="62">
        <v>14385548</v>
      </c>
      <c r="U20" s="61">
        <f>+'[9]cuadre por cuentas 20170901 al '!$D$137</f>
        <v>6163584</v>
      </c>
      <c r="V20" s="42">
        <f t="shared" si="2"/>
        <v>61877201</v>
      </c>
      <c r="W20" s="42">
        <f t="shared" si="3"/>
        <v>48321690</v>
      </c>
    </row>
    <row r="21" spans="1:23">
      <c r="A21" s="30" t="s">
        <v>121</v>
      </c>
      <c r="B21" s="31" t="s">
        <v>122</v>
      </c>
      <c r="C21" s="42">
        <v>3850000</v>
      </c>
      <c r="D21" s="42"/>
      <c r="E21" s="61"/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/>
      <c r="P21" s="42">
        <v>56352</v>
      </c>
      <c r="Q21" s="42"/>
      <c r="R21" s="62">
        <v>619872</v>
      </c>
      <c r="S21" s="42">
        <v>0</v>
      </c>
      <c r="T21" s="62">
        <v>112704</v>
      </c>
      <c r="U21" s="42"/>
      <c r="V21" s="42">
        <f t="shared" si="2"/>
        <v>788928</v>
      </c>
      <c r="W21" s="42">
        <f t="shared" si="3"/>
        <v>0</v>
      </c>
    </row>
    <row r="22" spans="1:23">
      <c r="A22" s="30" t="s">
        <v>123</v>
      </c>
      <c r="B22" s="31" t="s">
        <v>124</v>
      </c>
      <c r="C22" s="42">
        <v>26000000</v>
      </c>
      <c r="D22" s="42"/>
      <c r="E22" s="61"/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6150680</v>
      </c>
      <c r="O22" s="42"/>
      <c r="P22" s="42">
        <v>6215424</v>
      </c>
      <c r="Q22" s="42"/>
      <c r="R22" s="62">
        <v>5697472</v>
      </c>
      <c r="S22" s="42">
        <v>0</v>
      </c>
      <c r="T22" s="62">
        <v>6085936</v>
      </c>
      <c r="U22" s="42"/>
      <c r="V22" s="42">
        <f t="shared" si="2"/>
        <v>24149512</v>
      </c>
      <c r="W22" s="42">
        <f t="shared" si="3"/>
        <v>0</v>
      </c>
    </row>
    <row r="23" spans="1:23">
      <c r="A23" s="30" t="s">
        <v>125</v>
      </c>
      <c r="B23" s="31" t="s">
        <v>126</v>
      </c>
      <c r="C23" s="42">
        <v>39000000</v>
      </c>
      <c r="D23" s="42">
        <v>3404112</v>
      </c>
      <c r="E23" s="61">
        <f>+'[1]cuadre por cuentas 20170101 al '!$D$144</f>
        <v>3404112</v>
      </c>
      <c r="F23" s="42">
        <v>4791760</v>
      </c>
      <c r="G23" s="42">
        <f>+'[2]cuadre por cuentas 20170201 al '!$D$136</f>
        <v>4791760</v>
      </c>
      <c r="H23" s="42">
        <v>9960400</v>
      </c>
      <c r="I23" s="42">
        <f>+'[3]cuadre por cuentas 20170301 al '!$D$138</f>
        <v>9960400</v>
      </c>
      <c r="J23" s="42">
        <v>9852720</v>
      </c>
      <c r="K23" s="61">
        <f>+'[4]cuadre por cuentas 20170401 al '!$D$138</f>
        <v>9852720</v>
      </c>
      <c r="L23" s="42">
        <v>5545520</v>
      </c>
      <c r="M23" s="42">
        <f>+'[5]cuadre por cuentas 20170501 al '!$D$138</f>
        <v>5545520</v>
      </c>
      <c r="N23" s="42">
        <v>7349160</v>
      </c>
      <c r="O23" s="61">
        <f>+'[6]cuadre por cuentas 20170601 al '!$D$138</f>
        <v>7349160</v>
      </c>
      <c r="P23" s="42">
        <v>9448920</v>
      </c>
      <c r="Q23" s="61">
        <f>+'[7]cuadre por cuentas 20170701 al '!$D$154</f>
        <v>9448920</v>
      </c>
      <c r="R23" s="62">
        <v>8560560</v>
      </c>
      <c r="S23" s="61">
        <f>+'[8]cuadre por cuentas 20170801 al '!$H$155</f>
        <v>8560560</v>
      </c>
      <c r="T23" s="62">
        <v>8129840</v>
      </c>
      <c r="U23" s="61">
        <f>+'[9]cuadre por cuentas 20170901 al '!$D$155</f>
        <v>8129840</v>
      </c>
      <c r="V23" s="42">
        <f t="shared" si="2"/>
        <v>67042992</v>
      </c>
      <c r="W23" s="42">
        <f t="shared" si="3"/>
        <v>67042992</v>
      </c>
    </row>
    <row r="24" spans="1:23">
      <c r="A24" s="30" t="s">
        <v>127</v>
      </c>
      <c r="B24" s="31" t="s">
        <v>128</v>
      </c>
      <c r="C24" s="42">
        <v>10000000</v>
      </c>
      <c r="D24" s="42">
        <v>0</v>
      </c>
      <c r="E24" s="61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453208</v>
      </c>
      <c r="O24" s="42"/>
      <c r="P24" s="42">
        <v>550324</v>
      </c>
      <c r="Q24" s="42"/>
      <c r="R24" s="62">
        <v>550324</v>
      </c>
      <c r="S24" s="42">
        <v>0</v>
      </c>
      <c r="T24" s="62">
        <v>485580</v>
      </c>
      <c r="U24" s="42"/>
      <c r="V24" s="42">
        <f t="shared" si="2"/>
        <v>2039436</v>
      </c>
      <c r="W24" s="42">
        <f t="shared" si="3"/>
        <v>0</v>
      </c>
    </row>
    <row r="25" spans="1:23">
      <c r="A25" s="30" t="s">
        <v>129</v>
      </c>
      <c r="B25" s="31" t="s">
        <v>130</v>
      </c>
      <c r="C25" s="42">
        <v>1000000</v>
      </c>
      <c r="D25" s="42">
        <v>0</v>
      </c>
      <c r="E25" s="61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145987</v>
      </c>
      <c r="O25" s="42"/>
      <c r="P25" s="42">
        <v>56352</v>
      </c>
      <c r="Q25" s="42"/>
      <c r="R25" s="62">
        <v>112704</v>
      </c>
      <c r="S25" s="42">
        <v>0</v>
      </c>
      <c r="T25" s="62">
        <v>338112</v>
      </c>
      <c r="U25" s="42"/>
      <c r="V25" s="42">
        <f t="shared" si="2"/>
        <v>653155</v>
      </c>
      <c r="W25" s="42">
        <f t="shared" si="3"/>
        <v>0</v>
      </c>
    </row>
    <row r="26" spans="1:23">
      <c r="A26" s="30" t="s">
        <v>131</v>
      </c>
      <c r="B26" s="31" t="s">
        <v>132</v>
      </c>
      <c r="C26" s="42">
        <v>6000000</v>
      </c>
      <c r="D26" s="42">
        <v>0</v>
      </c>
      <c r="E26" s="61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470000</v>
      </c>
      <c r="O26" s="42"/>
      <c r="P26" s="42">
        <v>499384</v>
      </c>
      <c r="Q26" s="42"/>
      <c r="R26" s="62">
        <v>440632</v>
      </c>
      <c r="S26" s="42">
        <v>0</v>
      </c>
      <c r="T26" s="62">
        <v>352503</v>
      </c>
      <c r="U26" s="42"/>
      <c r="V26" s="42">
        <f t="shared" si="2"/>
        <v>1762519</v>
      </c>
      <c r="W26" s="42">
        <f t="shared" si="3"/>
        <v>0</v>
      </c>
    </row>
    <row r="27" spans="1:23">
      <c r="A27" s="30" t="s">
        <v>133</v>
      </c>
      <c r="B27" s="31" t="s">
        <v>134</v>
      </c>
      <c r="C27" s="42">
        <v>250000</v>
      </c>
      <c r="D27" s="42">
        <v>0</v>
      </c>
      <c r="E27" s="61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112704</v>
      </c>
      <c r="O27" s="42"/>
      <c r="P27" s="42">
        <v>112704</v>
      </c>
      <c r="Q27" s="42"/>
      <c r="R27" s="62">
        <v>56352</v>
      </c>
      <c r="S27" s="42">
        <v>0</v>
      </c>
      <c r="T27" s="62">
        <v>112704</v>
      </c>
      <c r="U27" s="42"/>
      <c r="V27" s="42">
        <f t="shared" si="2"/>
        <v>394464</v>
      </c>
      <c r="W27" s="42">
        <f t="shared" si="3"/>
        <v>0</v>
      </c>
    </row>
    <row r="28" spans="1:23">
      <c r="A28" s="30" t="s">
        <v>135</v>
      </c>
      <c r="B28" s="31" t="s">
        <v>136</v>
      </c>
      <c r="C28" s="42">
        <v>3500000</v>
      </c>
      <c r="D28" s="42">
        <v>0</v>
      </c>
      <c r="E28" s="61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112704</v>
      </c>
      <c r="O28" s="42"/>
      <c r="P28" s="42">
        <v>394464</v>
      </c>
      <c r="Q28" s="42"/>
      <c r="R28" s="62">
        <v>507168</v>
      </c>
      <c r="S28" s="42">
        <v>0</v>
      </c>
      <c r="T28" s="62">
        <v>281760</v>
      </c>
      <c r="U28" s="42"/>
      <c r="V28" s="42">
        <f t="shared" si="2"/>
        <v>1296096</v>
      </c>
      <c r="W28" s="42">
        <f t="shared" si="3"/>
        <v>0</v>
      </c>
    </row>
    <row r="29" spans="1:23">
      <c r="A29" s="30" t="s">
        <v>137</v>
      </c>
      <c r="B29" s="31" t="s">
        <v>138</v>
      </c>
      <c r="C29" s="42">
        <v>24200000</v>
      </c>
      <c r="D29" s="42">
        <v>0</v>
      </c>
      <c r="E29" s="61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/>
      <c r="P29" s="42">
        <v>0</v>
      </c>
      <c r="Q29" s="42"/>
      <c r="R29" s="62">
        <v>0</v>
      </c>
      <c r="S29" s="42">
        <v>0</v>
      </c>
      <c r="T29" s="62">
        <v>0</v>
      </c>
      <c r="U29" s="42"/>
      <c r="V29" s="42">
        <f t="shared" si="2"/>
        <v>0</v>
      </c>
      <c r="W29" s="42">
        <f t="shared" si="3"/>
        <v>0</v>
      </c>
    </row>
    <row r="30" spans="1:23">
      <c r="A30" s="30" t="s">
        <v>139</v>
      </c>
      <c r="B30" s="31" t="s">
        <v>140</v>
      </c>
      <c r="C30" s="42">
        <v>9500000</v>
      </c>
      <c r="D30" s="42">
        <v>0</v>
      </c>
      <c r="E30" s="61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136689</v>
      </c>
      <c r="O30" s="42"/>
      <c r="P30" s="42">
        <v>259589</v>
      </c>
      <c r="Q30" s="42"/>
      <c r="R30" s="62">
        <v>218222</v>
      </c>
      <c r="S30" s="42">
        <v>0</v>
      </c>
      <c r="T30" s="62">
        <v>354911</v>
      </c>
      <c r="U30" s="42"/>
      <c r="V30" s="42">
        <f t="shared" si="2"/>
        <v>969411</v>
      </c>
      <c r="W30" s="42">
        <f t="shared" si="3"/>
        <v>0</v>
      </c>
    </row>
    <row r="31" spans="1:23">
      <c r="A31" s="30" t="s">
        <v>141</v>
      </c>
      <c r="B31" s="31" t="s">
        <v>142</v>
      </c>
      <c r="C31" s="42">
        <v>110000</v>
      </c>
      <c r="D31" s="42">
        <v>0</v>
      </c>
      <c r="E31" s="61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/>
      <c r="P31" s="42">
        <v>0</v>
      </c>
      <c r="Q31" s="42"/>
      <c r="R31" s="62">
        <v>0</v>
      </c>
      <c r="S31" s="42">
        <v>0</v>
      </c>
      <c r="T31" s="62">
        <v>476610</v>
      </c>
      <c r="U31" s="42"/>
      <c r="V31" s="42">
        <f t="shared" si="2"/>
        <v>476610</v>
      </c>
      <c r="W31" s="42">
        <f t="shared" si="3"/>
        <v>0</v>
      </c>
    </row>
    <row r="32" spans="1:23">
      <c r="A32" s="30" t="s">
        <v>143</v>
      </c>
      <c r="B32" s="31" t="s">
        <v>144</v>
      </c>
      <c r="C32" s="42">
        <v>3500000</v>
      </c>
      <c r="D32" s="42">
        <v>0</v>
      </c>
      <c r="E32" s="61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/>
      <c r="P32" s="42">
        <v>0</v>
      </c>
      <c r="Q32" s="42"/>
      <c r="R32" s="62">
        <v>0</v>
      </c>
      <c r="S32" s="42">
        <v>0</v>
      </c>
      <c r="T32" s="62">
        <v>0</v>
      </c>
      <c r="U32" s="42"/>
      <c r="V32" s="42">
        <f t="shared" si="2"/>
        <v>0</v>
      </c>
      <c r="W32" s="42">
        <f t="shared" si="3"/>
        <v>0</v>
      </c>
    </row>
    <row r="33" spans="1:23">
      <c r="A33" s="30" t="s">
        <v>145</v>
      </c>
      <c r="B33" s="31" t="s">
        <v>146</v>
      </c>
      <c r="C33" s="42">
        <v>2200000</v>
      </c>
      <c r="D33" s="42">
        <v>0</v>
      </c>
      <c r="E33" s="61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/>
      <c r="P33" s="42">
        <v>0</v>
      </c>
      <c r="Q33" s="42"/>
      <c r="R33" s="62">
        <v>0</v>
      </c>
      <c r="S33" s="42">
        <v>0</v>
      </c>
      <c r="T33" s="62"/>
      <c r="U33" s="42"/>
      <c r="V33" s="42">
        <f t="shared" si="2"/>
        <v>0</v>
      </c>
      <c r="W33" s="42">
        <f t="shared" si="3"/>
        <v>0</v>
      </c>
    </row>
    <row r="34" spans="1:23">
      <c r="A34" s="30" t="s">
        <v>147</v>
      </c>
      <c r="B34" s="31" t="s">
        <v>148</v>
      </c>
      <c r="C34" s="42">
        <v>112000000</v>
      </c>
      <c r="D34" s="42">
        <v>3874514</v>
      </c>
      <c r="E34" s="61">
        <f>+'[1]cuadre por cuentas 20170101 al '!$D$149</f>
        <v>3874514</v>
      </c>
      <c r="F34" s="42">
        <v>8474616</v>
      </c>
      <c r="G34" s="42">
        <f>+'[2]cuadre por cuentas 20170201 al '!$D$141</f>
        <v>8474616</v>
      </c>
      <c r="H34" s="42">
        <v>4924935</v>
      </c>
      <c r="I34" s="42">
        <f>+'[3]cuadre por cuentas 20170301 al '!$D$143</f>
        <v>4924935</v>
      </c>
      <c r="J34" s="42">
        <v>1228482</v>
      </c>
      <c r="K34" s="61">
        <f>+'[4]cuadre por cuentas 20170401 al '!$D$143</f>
        <v>1228482</v>
      </c>
      <c r="L34" s="42">
        <v>4234617</v>
      </c>
      <c r="M34" s="42">
        <f>+'[5]cuadre por cuentas 20170501 al '!$D$143</f>
        <v>4234617</v>
      </c>
      <c r="N34" s="42">
        <v>12258153</v>
      </c>
      <c r="O34" s="61">
        <f>+'[6]cuadre por cuentas 20170601 al '!$D$143</f>
        <v>12258153</v>
      </c>
      <c r="P34" s="42">
        <v>6876513</v>
      </c>
      <c r="Q34" s="61">
        <f>+'[7]cuadre por cuentas 20170701 al '!$D$159</f>
        <v>6876513</v>
      </c>
      <c r="R34" s="62">
        <v>1299177</v>
      </c>
      <c r="S34" s="61">
        <f>+'[8]cuadre por cuentas 20170801 al '!$H$160</f>
        <v>1299177</v>
      </c>
      <c r="T34" s="62">
        <v>592470</v>
      </c>
      <c r="U34" s="61">
        <f>+'[9]cuadre por cuentas 20170901 al '!$D$160</f>
        <v>592470</v>
      </c>
      <c r="V34" s="42">
        <f t="shared" si="2"/>
        <v>43763477</v>
      </c>
      <c r="W34" s="42">
        <f t="shared" si="3"/>
        <v>43763477</v>
      </c>
    </row>
    <row r="35" spans="1:23">
      <c r="A35" s="30" t="s">
        <v>149</v>
      </c>
      <c r="B35" s="31" t="s">
        <v>150</v>
      </c>
      <c r="C35" s="42">
        <v>27500000</v>
      </c>
      <c r="D35" s="42">
        <v>1505636</v>
      </c>
      <c r="E35" s="61">
        <f>+'[1]cuadre por cuentas 20170101 al '!$D$121</f>
        <v>1505636</v>
      </c>
      <c r="F35" s="42">
        <v>1211410</v>
      </c>
      <c r="G35" s="42">
        <f>+'[2]cuadre por cuentas 20170201 al '!$D$114</f>
        <v>1211410</v>
      </c>
      <c r="H35" s="42">
        <v>1237745</v>
      </c>
      <c r="I35" s="42">
        <f>+'[3]cuadre por cuentas 20170301 al '!$D$115</f>
        <v>1237745</v>
      </c>
      <c r="J35" s="42">
        <v>1079735</v>
      </c>
      <c r="K35" s="61">
        <f>+'[4]cuadre por cuentas 20170401 al '!$D$115</f>
        <v>1079735</v>
      </c>
      <c r="L35" s="42">
        <v>1079735</v>
      </c>
      <c r="M35" s="42">
        <f>+'[5]cuadre por cuentas 20170501 al '!$D$115</f>
        <v>1079735</v>
      </c>
      <c r="N35" s="42">
        <v>1290415</v>
      </c>
      <c r="O35" s="61">
        <f>+'[6]cuadre por cuentas 20170601 al '!$D$115</f>
        <v>1290415</v>
      </c>
      <c r="P35" s="42">
        <v>921725</v>
      </c>
      <c r="Q35" s="61">
        <f>+'[7]cuadre por cuentas 20170701 al '!$D$131</f>
        <v>921725</v>
      </c>
      <c r="R35" s="62">
        <v>1106070</v>
      </c>
      <c r="S35" s="61">
        <f>+'[8]cuadre por cuentas 20170801 al '!$H$132</f>
        <v>1106070</v>
      </c>
      <c r="T35" s="62">
        <v>1764445</v>
      </c>
      <c r="U35" s="61">
        <f>+'[9]cuadre por cuentas 20170901 al '!$D$132</f>
        <v>1764445</v>
      </c>
      <c r="V35" s="42">
        <f t="shared" si="2"/>
        <v>11196916</v>
      </c>
      <c r="W35" s="42">
        <f t="shared" si="3"/>
        <v>11196916</v>
      </c>
    </row>
    <row r="36" spans="1:23">
      <c r="A36" s="30" t="s">
        <v>151</v>
      </c>
      <c r="B36" s="31" t="s">
        <v>152</v>
      </c>
      <c r="C36" s="42">
        <v>18560000</v>
      </c>
      <c r="D36" s="42">
        <v>1998832</v>
      </c>
      <c r="E36" s="61">
        <f>+'[1]cuadre por cuentas 20170101 al '!$D$123</f>
        <v>1998832</v>
      </c>
      <c r="F36" s="42">
        <v>1378527</v>
      </c>
      <c r="G36" s="42">
        <f>+'[2]cuadre por cuentas 20170201 al '!$D$116</f>
        <v>1378527</v>
      </c>
      <c r="H36" s="42">
        <v>2850703</v>
      </c>
      <c r="I36" s="42">
        <f>+'[3]cuadre por cuentas 20170301 al '!$D$117</f>
        <v>2850703</v>
      </c>
      <c r="J36" s="42">
        <v>1363543</v>
      </c>
      <c r="K36" s="61">
        <f>+'[4]cuadre por cuentas 20170401 al '!$D$117</f>
        <v>1363543</v>
      </c>
      <c r="L36" s="42">
        <v>1947920</v>
      </c>
      <c r="M36" s="42">
        <f>+'[5]cuadre por cuentas 20170501 al '!$D$117</f>
        <v>1947920</v>
      </c>
      <c r="N36" s="42">
        <v>1510186</v>
      </c>
      <c r="O36" s="61">
        <f>+'[6]cuadre por cuentas 20170601 al '!$D$117</f>
        <v>1510186</v>
      </c>
      <c r="P36" s="42">
        <v>1457194</v>
      </c>
      <c r="Q36" s="61">
        <f>+'[7]cuadre por cuentas 20170701 al '!$D$133</f>
        <v>1457194</v>
      </c>
      <c r="R36" s="62">
        <v>2884420</v>
      </c>
      <c r="S36" s="61">
        <f>+'[8]cuadre por cuentas 20170801 al '!$H$134</f>
        <v>2887471</v>
      </c>
      <c r="T36" s="62">
        <v>3978252</v>
      </c>
      <c r="U36" s="61">
        <f>+'[9]cuadre por cuentas 20170901 al '!$D$134</f>
        <v>3978252</v>
      </c>
      <c r="V36" s="42">
        <f t="shared" si="2"/>
        <v>19369577</v>
      </c>
      <c r="W36" s="42">
        <f t="shared" si="3"/>
        <v>19372628</v>
      </c>
    </row>
    <row r="37" spans="1:23">
      <c r="A37" s="30" t="s">
        <v>153</v>
      </c>
      <c r="B37" s="31" t="s">
        <v>155</v>
      </c>
      <c r="C37" s="42">
        <v>660000</v>
      </c>
      <c r="D37" s="42">
        <v>21562</v>
      </c>
      <c r="E37" s="61">
        <f>+'[1]cuadre por cuentas 20170101 al '!$D$141</f>
        <v>21562</v>
      </c>
      <c r="F37" s="42">
        <v>0</v>
      </c>
      <c r="G37" s="42">
        <v>0</v>
      </c>
      <c r="H37" s="42">
        <v>85211</v>
      </c>
      <c r="I37" s="42">
        <f>+'[3]cuadre por cuentas 20170301 al '!$D$135</f>
        <v>85211</v>
      </c>
      <c r="J37" s="42">
        <v>36519</v>
      </c>
      <c r="K37" s="61">
        <f>+'[4]cuadre por cuentas 20170401 al '!$D$135</f>
        <v>36519</v>
      </c>
      <c r="L37" s="42">
        <v>36519</v>
      </c>
      <c r="M37" s="42">
        <f>+'[5]cuadre por cuentas 20170501 al '!$D$135</f>
        <v>36519</v>
      </c>
      <c r="N37" s="42">
        <v>36519</v>
      </c>
      <c r="O37" s="61">
        <f>+'[6]cuadre por cuentas 20170601 al '!$D$135</f>
        <v>36519</v>
      </c>
      <c r="P37" s="42">
        <v>24346</v>
      </c>
      <c r="Q37" s="61">
        <f>+'[7]cuadre por cuentas 20170701 al '!$D$151</f>
        <v>24346</v>
      </c>
      <c r="R37" s="62">
        <v>12173</v>
      </c>
      <c r="S37" s="61">
        <f>+'[8]cuadre por cuentas 20170801 al '!$H$152</f>
        <v>12173</v>
      </c>
      <c r="T37" s="62">
        <v>36519</v>
      </c>
      <c r="U37" s="61">
        <f>+'[9]cuadre por cuentas 20170901 al '!$D$152</f>
        <v>36519</v>
      </c>
      <c r="V37" s="42">
        <f t="shared" si="2"/>
        <v>289368</v>
      </c>
      <c r="W37" s="42">
        <f t="shared" si="3"/>
        <v>289368</v>
      </c>
    </row>
    <row r="38" spans="1:23">
      <c r="A38" s="30" t="s">
        <v>154</v>
      </c>
      <c r="B38" s="31" t="s">
        <v>157</v>
      </c>
      <c r="C38" s="42">
        <v>2420000</v>
      </c>
      <c r="D38" s="42">
        <v>158380</v>
      </c>
      <c r="E38" s="61">
        <f>+'[1]cuadre por cuentas 20170101 al '!$D$145+'[1]cuadre por cuentas 20170101 al '!$D$132</f>
        <v>158380</v>
      </c>
      <c r="F38" s="42">
        <v>16372</v>
      </c>
      <c r="G38" s="42">
        <f>+'[2]cuadre por cuentas 20170201 al '!$D$137</f>
        <v>16372</v>
      </c>
      <c r="H38" s="42">
        <v>163720</v>
      </c>
      <c r="I38" s="42">
        <f>+'[3]cuadre por cuentas 20170301 al '!$D$126</f>
        <v>163720</v>
      </c>
      <c r="J38" s="42">
        <v>16372</v>
      </c>
      <c r="K38" s="61">
        <f>+'[4]cuadre por cuentas 20170401 al '!$D$139</f>
        <v>16372</v>
      </c>
      <c r="L38" s="42">
        <v>16372</v>
      </c>
      <c r="M38" s="42">
        <f>+'[5]cuadre por cuentas 20170501 al '!$D$139</f>
        <v>16372</v>
      </c>
      <c r="N38" s="42">
        <v>130976</v>
      </c>
      <c r="O38" s="61">
        <f>+'[6]cuadre por cuentas 20170601 al '!$D$139</f>
        <v>0</v>
      </c>
      <c r="P38" s="42">
        <v>49116</v>
      </c>
      <c r="Q38" s="61">
        <f>+'[7]cuadre por cuentas 20170701 al '!$D$155</f>
        <v>0</v>
      </c>
      <c r="R38" s="62">
        <v>376556</v>
      </c>
      <c r="S38" s="61">
        <f>+'[8]cuadre por cuentas 20170801 al '!$H$156</f>
        <v>65488</v>
      </c>
      <c r="T38" s="62">
        <v>16372</v>
      </c>
      <c r="U38" s="61">
        <f>+'[9]cuadre por cuentas 20170901 al '!$D$156</f>
        <v>16372</v>
      </c>
      <c r="V38" s="42">
        <f t="shared" si="2"/>
        <v>944236</v>
      </c>
      <c r="W38" s="42">
        <f t="shared" si="3"/>
        <v>453076</v>
      </c>
    </row>
    <row r="39" spans="1:23">
      <c r="A39" s="30" t="s">
        <v>156</v>
      </c>
      <c r="B39" s="31" t="s">
        <v>159</v>
      </c>
      <c r="C39" s="42">
        <v>110000</v>
      </c>
      <c r="D39" s="42"/>
      <c r="E39" s="61"/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/>
      <c r="P39" s="42">
        <v>0</v>
      </c>
      <c r="Q39" s="42"/>
      <c r="R39" s="62">
        <v>0</v>
      </c>
      <c r="S39" s="42">
        <v>0</v>
      </c>
      <c r="T39" s="62">
        <v>0</v>
      </c>
      <c r="U39" s="42"/>
      <c r="V39" s="42">
        <f t="shared" si="2"/>
        <v>0</v>
      </c>
      <c r="W39" s="42">
        <f t="shared" si="3"/>
        <v>0</v>
      </c>
    </row>
    <row r="40" spans="1:23">
      <c r="A40" s="30" t="s">
        <v>158</v>
      </c>
      <c r="B40" s="31" t="s">
        <v>161</v>
      </c>
      <c r="C40" s="42">
        <v>2420000</v>
      </c>
      <c r="D40" s="42"/>
      <c r="E40" s="61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/>
      <c r="P40" s="42">
        <v>0</v>
      </c>
      <c r="Q40" s="42"/>
      <c r="R40" s="62">
        <v>0</v>
      </c>
      <c r="S40" s="42">
        <v>0</v>
      </c>
      <c r="T40" s="62">
        <v>0</v>
      </c>
      <c r="U40" s="42"/>
      <c r="V40" s="42">
        <f t="shared" si="2"/>
        <v>0</v>
      </c>
      <c r="W40" s="42">
        <f t="shared" si="3"/>
        <v>0</v>
      </c>
    </row>
    <row r="41" spans="1:23">
      <c r="A41" s="30" t="s">
        <v>181</v>
      </c>
      <c r="B41" s="31" t="s">
        <v>163</v>
      </c>
      <c r="C41" s="42">
        <v>15730000</v>
      </c>
      <c r="D41" s="42"/>
      <c r="E41" s="61"/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502965</v>
      </c>
      <c r="O41" s="42"/>
      <c r="P41" s="42">
        <v>764940</v>
      </c>
      <c r="Q41" s="42"/>
      <c r="R41" s="62">
        <v>890230</v>
      </c>
      <c r="S41" s="42">
        <v>0</v>
      </c>
      <c r="T41" s="62">
        <v>1499305</v>
      </c>
      <c r="U41" s="42"/>
      <c r="V41" s="42">
        <f t="shared" si="2"/>
        <v>3657440</v>
      </c>
      <c r="W41" s="42">
        <f t="shared" si="3"/>
        <v>0</v>
      </c>
    </row>
    <row r="42" spans="1:23">
      <c r="A42" s="30" t="s">
        <v>182</v>
      </c>
      <c r="B42" s="31" t="s">
        <v>165</v>
      </c>
      <c r="C42" s="42">
        <v>2420000</v>
      </c>
      <c r="D42" s="42"/>
      <c r="E42" s="61"/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/>
      <c r="P42" s="42">
        <v>0</v>
      </c>
      <c r="Q42" s="42"/>
      <c r="R42" s="62">
        <v>0</v>
      </c>
      <c r="S42" s="42">
        <v>0</v>
      </c>
      <c r="T42" s="62">
        <v>0</v>
      </c>
      <c r="U42" s="42"/>
      <c r="V42" s="42">
        <f t="shared" si="2"/>
        <v>0</v>
      </c>
      <c r="W42" s="42">
        <f t="shared" si="3"/>
        <v>0</v>
      </c>
    </row>
    <row r="43" spans="1:23">
      <c r="A43" s="30" t="s">
        <v>160</v>
      </c>
      <c r="B43" s="31" t="s">
        <v>166</v>
      </c>
      <c r="C43" s="42">
        <v>2420000</v>
      </c>
      <c r="D43" s="42"/>
      <c r="E43" s="61"/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/>
      <c r="P43" s="42">
        <v>0</v>
      </c>
      <c r="Q43" s="42"/>
      <c r="R43" s="62">
        <v>0</v>
      </c>
      <c r="S43" s="42">
        <v>0</v>
      </c>
      <c r="T43" s="62">
        <v>0</v>
      </c>
      <c r="U43" s="42"/>
      <c r="V43" s="42">
        <f t="shared" si="2"/>
        <v>0</v>
      </c>
      <c r="W43" s="42">
        <f t="shared" si="3"/>
        <v>0</v>
      </c>
    </row>
    <row r="44" spans="1:23">
      <c r="A44" s="30" t="s">
        <v>162</v>
      </c>
      <c r="B44" s="31" t="s">
        <v>167</v>
      </c>
      <c r="C44" s="42">
        <v>18150000</v>
      </c>
      <c r="D44" s="42">
        <v>1157628</v>
      </c>
      <c r="E44" s="61">
        <f>+'[1]cuadre por cuentas 20170101 al '!$D$142</f>
        <v>1157628</v>
      </c>
      <c r="F44" s="42">
        <v>911160</v>
      </c>
      <c r="G44" s="42">
        <f>+'[2]cuadre por cuentas 20170201 al '!$D$134</f>
        <v>911160</v>
      </c>
      <c r="H44" s="42">
        <v>951656</v>
      </c>
      <c r="I44" s="42">
        <f>+'[3]cuadre por cuentas 20170301 al '!$D$136</f>
        <v>951656</v>
      </c>
      <c r="J44" s="42">
        <v>830168</v>
      </c>
      <c r="K44" s="61">
        <f>+'[4]cuadre por cuentas 20170401 al '!$D$136</f>
        <v>830168</v>
      </c>
      <c r="L44" s="42">
        <v>830168</v>
      </c>
      <c r="M44" s="42">
        <f>+'[5]cuadre por cuentas 20170501 al '!$D$136</f>
        <v>830168</v>
      </c>
      <c r="N44" s="42">
        <v>4916</v>
      </c>
      <c r="O44" s="61">
        <f>+'[6]cuadre por cuentas 20170601 al '!$D$136</f>
        <v>994610</v>
      </c>
      <c r="P44" s="42">
        <v>708680</v>
      </c>
      <c r="Q44" s="61">
        <f>+'[7]cuadre por cuentas 20170701 al '!$D$152</f>
        <v>708680</v>
      </c>
      <c r="R44" s="62">
        <v>850416</v>
      </c>
      <c r="S44" s="61">
        <f>+'[8]cuadre por cuentas 20170801 al '!$H$153</f>
        <v>850416</v>
      </c>
      <c r="T44" s="62">
        <v>1356616</v>
      </c>
      <c r="U44" s="61">
        <f>+'[9]cuadre por cuentas 20170901 al '!$D$153</f>
        <v>1356616</v>
      </c>
      <c r="V44" s="42">
        <f t="shared" si="2"/>
        <v>7601408</v>
      </c>
      <c r="W44" s="42">
        <f t="shared" si="3"/>
        <v>8591102</v>
      </c>
    </row>
    <row r="45" spans="1:23">
      <c r="A45" s="30" t="s">
        <v>164</v>
      </c>
      <c r="B45" s="31" t="s">
        <v>168</v>
      </c>
      <c r="C45" s="42">
        <v>15000000</v>
      </c>
      <c r="D45" s="42">
        <v>229348</v>
      </c>
      <c r="E45" s="42">
        <f>+'[1]cuadre por cuentas 20170101 al '!$D$152</f>
        <v>229348</v>
      </c>
      <c r="F45" s="42">
        <v>456257</v>
      </c>
      <c r="G45" s="42">
        <f>+'[2]cuadre por cuentas 20170201 al '!$D$144</f>
        <v>456257</v>
      </c>
      <c r="H45" s="42">
        <v>1286011</v>
      </c>
      <c r="I45" s="42">
        <f>+'[3]cuadre por cuentas 20170301 al '!$D$146</f>
        <v>1286011</v>
      </c>
      <c r="J45" s="42">
        <v>790527</v>
      </c>
      <c r="K45" s="61">
        <f>+'[4]cuadre por cuentas 20170401 al '!$D$146</f>
        <v>790527</v>
      </c>
      <c r="L45" s="42">
        <v>1887193</v>
      </c>
      <c r="M45" s="42">
        <f>+'[5]cuadre por cuentas 20170501 al '!$D$146</f>
        <v>1887193</v>
      </c>
      <c r="N45" s="42">
        <v>158794</v>
      </c>
      <c r="O45" s="61">
        <f>+'[6]cuadre por cuentas 20170601 al '!$D$146</f>
        <v>734273</v>
      </c>
      <c r="P45" s="42">
        <v>89524</v>
      </c>
      <c r="Q45" s="61">
        <f>+'[7]cuadre por cuentas 20170701 al '!$D$162</f>
        <v>1207553</v>
      </c>
      <c r="R45" s="62">
        <v>87594</v>
      </c>
      <c r="S45" s="61">
        <f>+'[8]cuadre por cuentas 20170801 al '!$H$163</f>
        <v>1052411</v>
      </c>
      <c r="T45" s="62">
        <v>11546</v>
      </c>
      <c r="U45" s="61">
        <f>+'[9]cuadre por cuentas 20170901 al '!$D$163</f>
        <v>1607556</v>
      </c>
      <c r="V45" s="42">
        <f t="shared" si="2"/>
        <v>4996794</v>
      </c>
      <c r="W45" s="42">
        <f t="shared" si="3"/>
        <v>9251129</v>
      </c>
    </row>
    <row r="46" spans="1:23">
      <c r="A46" s="30" t="s">
        <v>191</v>
      </c>
      <c r="B46" s="31" t="s">
        <v>192</v>
      </c>
      <c r="C46" s="42"/>
      <c r="D46" s="42">
        <v>80717893</v>
      </c>
      <c r="E46" s="42">
        <f>+'[1]cuadre por cuentas 20170101 al '!$D$155</f>
        <v>80717893</v>
      </c>
      <c r="F46" s="42">
        <v>104650152</v>
      </c>
      <c r="G46" s="42">
        <f>+'[2]cuadre por cuentas 20170201 al '!$D$148</f>
        <v>104650152</v>
      </c>
      <c r="H46" s="42">
        <v>103976015</v>
      </c>
      <c r="I46" s="42">
        <f>+'[3]cuadre por cuentas 20170301 al '!$D$150</f>
        <v>103976015</v>
      </c>
      <c r="J46" s="42">
        <v>77347551</v>
      </c>
      <c r="K46" s="42">
        <f>+'[4]cuadre por cuentas 20170401 al '!$D$151</f>
        <v>77347551</v>
      </c>
      <c r="L46" s="42">
        <v>89063264</v>
      </c>
      <c r="M46" s="42">
        <f>+'[5]cuadre por cuentas 20170501 al '!$D$151</f>
        <v>89063264</v>
      </c>
      <c r="N46" s="42"/>
      <c r="O46" s="42">
        <f>+'[6]cuadre por cuentas 20170601 al '!$D$104+'[6]cuadre por cuentas 20170601 al '!$D$109+'[6]cuadre por cuentas 20170601 al '!$D$112+'[6]cuadre por cuentas 20170601 al '!$D$116+'[6]cuadre por cuentas 20170601 al '!$D$121+'[6]cuadre por cuentas 20170601 al '!$D$126+'[6]cuadre por cuentas 20170601 al '!$D$134+'[6]cuadre por cuentas 20170601 al '!$D$141+'[6]cuadre por cuentas 20170601 al '!$D$145+'[6]cuadre por cuentas 20170601 al '!$D$147</f>
        <v>77753805</v>
      </c>
      <c r="P46" s="42"/>
      <c r="Q46" s="42">
        <f>+'[7]cuadre por cuentas 20170701 al '!$D$120+'[7]cuadre por cuentas 20170701 al '!$D$125+'[7]cuadre por cuentas 20170701 al '!$D$128+'[7]cuadre por cuentas 20170701 al '!$D$132+'[7]cuadre por cuentas 20170701 al '!$D$137+'[7]cuadre por cuentas 20170701 al '!$D$142+'[7]cuadre por cuentas 20170701 al '!$D$150+'[7]cuadre por cuentas 20170701 al '!$D$157+'[7]cuadre por cuentas 20170701 al '!$D$161+'[7]cuadre por cuentas 20170701 al '!$D$163</f>
        <v>76685638</v>
      </c>
      <c r="R46" s="62"/>
      <c r="S46" s="42">
        <f>+'[8]cuadre por cuentas 20170801 al '!$H$168</f>
        <v>88095434</v>
      </c>
      <c r="T46" s="62"/>
      <c r="U46" s="42">
        <f>+'[9]cuadre por cuentas 20170901 al '!$D$168</f>
        <v>79192544</v>
      </c>
      <c r="V46" s="42">
        <f t="shared" si="2"/>
        <v>455754875</v>
      </c>
      <c r="W46" s="42">
        <f t="shared" si="3"/>
        <v>777482296</v>
      </c>
    </row>
    <row r="47" spans="1:23">
      <c r="A47" s="35"/>
      <c r="B47" s="36" t="s">
        <v>169</v>
      </c>
      <c r="C47" s="43">
        <f>+C3+C5</f>
        <v>9230000000</v>
      </c>
      <c r="D47" s="43">
        <f t="shared" ref="D47:U47" si="4">+D3+D5</f>
        <v>285238529</v>
      </c>
      <c r="E47" s="43">
        <f>+E3+E5</f>
        <v>285238529</v>
      </c>
      <c r="F47" s="43">
        <f t="shared" si="4"/>
        <v>377089433</v>
      </c>
      <c r="G47" s="43">
        <f t="shared" si="4"/>
        <v>377089433</v>
      </c>
      <c r="H47" s="43">
        <f t="shared" si="4"/>
        <v>554921901</v>
      </c>
      <c r="I47" s="43">
        <f t="shared" si="4"/>
        <v>554921901</v>
      </c>
      <c r="J47" s="43">
        <f t="shared" si="4"/>
        <v>446967303</v>
      </c>
      <c r="K47" s="43">
        <f t="shared" si="4"/>
        <v>446967303</v>
      </c>
      <c r="L47" s="43">
        <f>+L3+L5</f>
        <v>462840511</v>
      </c>
      <c r="M47" s="43">
        <f t="shared" si="4"/>
        <v>462840511</v>
      </c>
      <c r="N47" s="43">
        <f t="shared" si="4"/>
        <v>423119412</v>
      </c>
      <c r="O47" s="43">
        <f t="shared" si="4"/>
        <v>419168279</v>
      </c>
      <c r="P47" s="43">
        <f t="shared" si="4"/>
        <v>292886691</v>
      </c>
      <c r="Q47" s="43">
        <f t="shared" si="4"/>
        <v>280573805</v>
      </c>
      <c r="R47" s="43">
        <f t="shared" si="4"/>
        <v>493052677</v>
      </c>
      <c r="S47" s="43">
        <f t="shared" si="4"/>
        <v>499185293</v>
      </c>
      <c r="T47" s="43">
        <f t="shared" si="4"/>
        <v>293146641</v>
      </c>
      <c r="U47" s="43">
        <f t="shared" si="4"/>
        <v>263097250</v>
      </c>
      <c r="V47" s="43">
        <f>+V3+V5</f>
        <v>3629263098</v>
      </c>
      <c r="W47" s="43">
        <f>+W3+W5</f>
        <v>3589082304</v>
      </c>
    </row>
    <row r="48" spans="1:23">
      <c r="A48" s="28">
        <v>2</v>
      </c>
      <c r="B48" s="29" t="s">
        <v>170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1">
        <f>+E48+G48+I48+K48+M48</f>
        <v>0</v>
      </c>
    </row>
    <row r="49" spans="1:23">
      <c r="A49" s="28">
        <v>2.1</v>
      </c>
      <c r="B49" s="29" t="s">
        <v>5</v>
      </c>
      <c r="C49" s="42">
        <v>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1">
        <f>+E49+G49+I49+K49+M49</f>
        <v>0</v>
      </c>
    </row>
    <row r="50" spans="1:23">
      <c r="A50" s="28">
        <v>2.2000000000000002</v>
      </c>
      <c r="B50" s="29" t="s">
        <v>6</v>
      </c>
      <c r="C50" s="41">
        <v>10000000</v>
      </c>
      <c r="D50" s="41">
        <v>0</v>
      </c>
      <c r="E50" s="41"/>
      <c r="F50" s="42"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f>D50+F50</f>
        <v>0</v>
      </c>
      <c r="W50" s="41">
        <f>+E50+G50+I50+K50+M50</f>
        <v>0</v>
      </c>
    </row>
    <row r="51" spans="1:23">
      <c r="A51" s="28">
        <v>2.2999999999999998</v>
      </c>
      <c r="B51" s="29" t="s">
        <v>7</v>
      </c>
      <c r="C51" s="41">
        <f>SUM(C52:C55)</f>
        <v>3000000000</v>
      </c>
      <c r="D51" s="41">
        <f t="shared" ref="D51:U51" si="5">SUM(D52:D55)</f>
        <v>190554448</v>
      </c>
      <c r="E51" s="41">
        <f t="shared" si="5"/>
        <v>190554448</v>
      </c>
      <c r="F51" s="41">
        <f t="shared" si="5"/>
        <v>220809485</v>
      </c>
      <c r="G51" s="41">
        <f t="shared" si="5"/>
        <v>220809485</v>
      </c>
      <c r="H51" s="41">
        <f t="shared" si="5"/>
        <v>398505277</v>
      </c>
      <c r="I51" s="41">
        <f t="shared" si="5"/>
        <v>398505277</v>
      </c>
      <c r="J51" s="41">
        <f t="shared" si="5"/>
        <v>341003083</v>
      </c>
      <c r="K51" s="41">
        <f t="shared" si="5"/>
        <v>341003083</v>
      </c>
      <c r="L51" s="41">
        <f t="shared" si="5"/>
        <v>308662673</v>
      </c>
      <c r="M51" s="41">
        <f t="shared" si="5"/>
        <v>308662673</v>
      </c>
      <c r="N51" s="41">
        <f t="shared" si="5"/>
        <v>181263017</v>
      </c>
      <c r="O51" s="41">
        <f t="shared" si="5"/>
        <v>187280565</v>
      </c>
      <c r="P51" s="41">
        <f t="shared" si="5"/>
        <v>193090622</v>
      </c>
      <c r="Q51" s="41">
        <f t="shared" si="5"/>
        <v>192971194</v>
      </c>
      <c r="R51" s="41">
        <f t="shared" si="5"/>
        <v>223367753</v>
      </c>
      <c r="S51" s="41">
        <f t="shared" si="5"/>
        <v>239017785</v>
      </c>
      <c r="T51" s="41">
        <f t="shared" si="5"/>
        <v>287496805</v>
      </c>
      <c r="U51" s="41">
        <f t="shared" si="5"/>
        <v>269986626</v>
      </c>
      <c r="V51" s="41">
        <f>SUM(V52:V55)</f>
        <v>2344753163</v>
      </c>
      <c r="W51" s="41">
        <f>SUM(W52:W55)</f>
        <v>2348791136</v>
      </c>
    </row>
    <row r="52" spans="1:23">
      <c r="A52" s="30" t="s">
        <v>171</v>
      </c>
      <c r="B52" s="32" t="s">
        <v>172</v>
      </c>
      <c r="C52" s="42">
        <v>1300000000</v>
      </c>
      <c r="D52" s="42">
        <v>65545371</v>
      </c>
      <c r="E52" s="42">
        <f>+'[1]cuadre por cuentas 20170101 al '!$D$136</f>
        <v>65545371</v>
      </c>
      <c r="F52" s="42">
        <v>72648514</v>
      </c>
      <c r="G52" s="42">
        <f>+'[2]cuadre por cuentas 20170201 al '!$D$129</f>
        <v>72648514</v>
      </c>
      <c r="H52" s="42">
        <v>98077252</v>
      </c>
      <c r="I52" s="42">
        <f>+'[3]cuadre por cuentas 20170301 al '!$D$130</f>
        <v>98077252</v>
      </c>
      <c r="J52" s="42">
        <v>68372059</v>
      </c>
      <c r="K52" s="42">
        <f>+'[4]cuadre por cuentas 20170401 al '!$D$130</f>
        <v>68372059</v>
      </c>
      <c r="L52" s="42">
        <v>68428433</v>
      </c>
      <c r="M52" s="42">
        <f>+'[5]cuadre por cuentas 20170501 al '!$D$130</f>
        <v>68428433</v>
      </c>
      <c r="N52" s="42">
        <v>61580307</v>
      </c>
      <c r="O52" s="42">
        <f>+'[6]cuadre por cuentas 20170601 al '!$D$130</f>
        <v>64763607</v>
      </c>
      <c r="P52" s="42">
        <v>69261558</v>
      </c>
      <c r="Q52" s="42">
        <f>+'[7]cuadre por cuentas 20170701 al '!$D$146</f>
        <v>68952501</v>
      </c>
      <c r="R52" s="42">
        <v>66945857</v>
      </c>
      <c r="S52" s="42">
        <f>+'[8]cuadre por cuentas 20170801 al '!$H$183</f>
        <v>77299343</v>
      </c>
      <c r="T52" s="42">
        <v>95807271</v>
      </c>
      <c r="U52" s="42">
        <f>+'[9]cuadre por cuentas 20170901 al '!$D$183</f>
        <v>85453785</v>
      </c>
      <c r="V52" s="42">
        <f>D52+F52+H52+J52+L52+N52+P52+R52+T52</f>
        <v>666666622</v>
      </c>
      <c r="W52" s="42">
        <f>+E52+G52+I52+K52+M52+O52+Q52+S52+U52</f>
        <v>669540865</v>
      </c>
    </row>
    <row r="53" spans="1:23">
      <c r="A53" s="30" t="s">
        <v>173</v>
      </c>
      <c r="B53" s="32" t="s">
        <v>174</v>
      </c>
      <c r="C53" s="42">
        <v>470000000</v>
      </c>
      <c r="D53" s="42">
        <v>52250659</v>
      </c>
      <c r="E53" s="42">
        <f>+'[1]cuadre por cuentas 20170101 al '!$D$135+'[1]cuadre por cuentas 20170101 al '!$D$137</f>
        <v>52250659</v>
      </c>
      <c r="F53" s="42">
        <v>54622977</v>
      </c>
      <c r="G53" s="42">
        <f>+'[2]cuadre por cuentas 20170201 al '!$D$128+'[2]cuadre por cuentas 20170201 al '!$D$130</f>
        <v>54622977</v>
      </c>
      <c r="H53" s="42">
        <v>89619990</v>
      </c>
      <c r="I53" s="42">
        <f>+'[3]cuadre por cuentas 20170301 al '!$D$129+'[3]cuadre por cuentas 20170301 al '!$D$131</f>
        <v>89619990</v>
      </c>
      <c r="J53" s="42">
        <v>66913228</v>
      </c>
      <c r="K53" s="42">
        <f>+'[4]cuadre por cuentas 20170401 al '!$D$129+'[4]cuadre por cuentas 20170401 al '!$D$131</f>
        <v>66913228</v>
      </c>
      <c r="L53" s="42">
        <v>68764082</v>
      </c>
      <c r="M53" s="42">
        <f>+'[5]cuadre por cuentas 20170501 al '!$D$129+'[5]cuadre por cuentas 20170501 al '!$D$131</f>
        <v>68764082</v>
      </c>
      <c r="N53" s="42">
        <v>36667836</v>
      </c>
      <c r="O53" s="42">
        <f>+'[6]cuadre por cuentas 20170601 al '!$D$129+'[6]cuadre por cuentas 20170601 al '!$D$131</f>
        <v>57343883</v>
      </c>
      <c r="P53" s="42">
        <v>54956511</v>
      </c>
      <c r="Q53" s="42">
        <f>+'[7]cuadre por cuentas 20170701 al '!$D$145+'[7]cuadre por cuentas 20170701 al '!$D$147</f>
        <v>54866370</v>
      </c>
      <c r="R53" s="42">
        <v>60812079</v>
      </c>
      <c r="S53" s="42">
        <f>+'[8]cuadre por cuentas 20170801 al '!$H$184+'[8]cuadre por cuentas 20170801 al '!$H$186</f>
        <v>66108625</v>
      </c>
      <c r="T53" s="42">
        <v>87333995</v>
      </c>
      <c r="U53" s="42">
        <f>+'[9]cuadre por cuentas 20170901 al '!$D$184+'[9]cuadre por cuentas 20170901 al '!$D$186</f>
        <v>80177302</v>
      </c>
      <c r="V53" s="42">
        <f t="shared" ref="V53:V55" si="6">D53+F53+H53+J53+L53+N53+P53+R53+T53</f>
        <v>571941357</v>
      </c>
      <c r="W53" s="42">
        <f t="shared" ref="W53:W56" si="7">+E53+G53+I53+K53+M53+O53+Q53+S53+U53</f>
        <v>590667116</v>
      </c>
    </row>
    <row r="54" spans="1:23">
      <c r="A54" s="33" t="s">
        <v>175</v>
      </c>
      <c r="B54" s="32" t="s">
        <v>177</v>
      </c>
      <c r="C54" s="42">
        <v>610000000</v>
      </c>
      <c r="D54" s="42">
        <v>27327964</v>
      </c>
      <c r="E54" s="42">
        <f>+'[1]cuadre por cuentas 20170101 al '!$D$139</f>
        <v>27327964</v>
      </c>
      <c r="F54" s="42">
        <v>34861389</v>
      </c>
      <c r="G54" s="42">
        <f>+'[2]cuadre por cuentas 20170201 al '!$D$132</f>
        <v>34861389</v>
      </c>
      <c r="H54" s="42">
        <v>79292369</v>
      </c>
      <c r="I54" s="42">
        <f>+'[3]cuadre por cuentas 20170301 al '!$D$133</f>
        <v>79292369</v>
      </c>
      <c r="J54" s="42">
        <v>75945247</v>
      </c>
      <c r="K54" s="42">
        <f>+'[4]cuadre por cuentas 20170401 al '!$D$133</f>
        <v>75945247</v>
      </c>
      <c r="L54" s="42">
        <v>68968892</v>
      </c>
      <c r="M54" s="42">
        <f>+'[5]cuadre por cuentas 20170501 al '!$D$133</f>
        <v>68968892</v>
      </c>
      <c r="N54" s="42">
        <v>45784103</v>
      </c>
      <c r="O54" s="42">
        <f>+'[6]cuadre por cuentas 20170601 al '!$D$133</f>
        <v>30350033</v>
      </c>
      <c r="P54" s="42">
        <v>32166646</v>
      </c>
      <c r="Q54" s="42">
        <f>+'[7]cuadre por cuentas 20170701 al '!$D$149</f>
        <v>32166646</v>
      </c>
      <c r="R54" s="42">
        <v>43309424</v>
      </c>
      <c r="S54" s="42">
        <f>+'[8]cuadre por cuentas 20170801 al '!$H$185</f>
        <v>43309424</v>
      </c>
      <c r="T54" s="42">
        <v>47710547</v>
      </c>
      <c r="U54" s="42">
        <f>+'[9]cuadre por cuentas 20170901 al '!$D$185</f>
        <v>47710547</v>
      </c>
      <c r="V54" s="42">
        <f t="shared" si="6"/>
        <v>455366581</v>
      </c>
      <c r="W54" s="42">
        <f t="shared" si="7"/>
        <v>439932511</v>
      </c>
    </row>
    <row r="55" spans="1:23">
      <c r="A55" s="30" t="s">
        <v>176</v>
      </c>
      <c r="B55" s="32" t="s">
        <v>178</v>
      </c>
      <c r="C55" s="42">
        <v>620000000</v>
      </c>
      <c r="D55" s="42">
        <v>45430454</v>
      </c>
      <c r="E55" s="42">
        <f>+'[1]cuadre por cuentas 20170101 al '!$D$138</f>
        <v>45430454</v>
      </c>
      <c r="F55" s="42">
        <v>58676605</v>
      </c>
      <c r="G55" s="42">
        <f>+'[2]cuadre por cuentas 20170201 al '!$D$131</f>
        <v>58676605</v>
      </c>
      <c r="H55" s="42">
        <v>131515666</v>
      </c>
      <c r="I55" s="42">
        <f>+'[3]cuadre por cuentas 20170301 al '!$D$132</f>
        <v>131515666</v>
      </c>
      <c r="J55" s="42">
        <v>129772549</v>
      </c>
      <c r="K55" s="42">
        <f>+'[4]cuadre por cuentas 20170401 al '!$D$132</f>
        <v>129772549</v>
      </c>
      <c r="L55" s="42">
        <v>102501266</v>
      </c>
      <c r="M55" s="42">
        <f>+'[5]cuadre por cuentas 20170501 al '!$D$132</f>
        <v>102501266</v>
      </c>
      <c r="N55" s="42">
        <v>37230771</v>
      </c>
      <c r="O55" s="42">
        <f>+'[6]cuadre por cuentas 20170601 al '!$D$132</f>
        <v>34823042</v>
      </c>
      <c r="P55" s="42">
        <v>36705907</v>
      </c>
      <c r="Q55" s="42">
        <f>+'[7]cuadre por cuentas 20170701 al '!$D$148</f>
        <v>36985677</v>
      </c>
      <c r="R55" s="42">
        <v>52300393</v>
      </c>
      <c r="S55" s="42">
        <f>+'[8]cuadre por cuentas 20170801 al '!$H$187</f>
        <v>52300393</v>
      </c>
      <c r="T55" s="42">
        <v>56644992</v>
      </c>
      <c r="U55" s="42">
        <f>+'[9]cuadre por cuentas 20170901 al '!$D$187</f>
        <v>56644992</v>
      </c>
      <c r="V55" s="42">
        <f t="shared" si="6"/>
        <v>650778603</v>
      </c>
      <c r="W55" s="42">
        <f t="shared" si="7"/>
        <v>648650644</v>
      </c>
    </row>
    <row r="56" spans="1:23">
      <c r="A56" s="28">
        <v>2.4</v>
      </c>
      <c r="B56" s="29" t="s">
        <v>8</v>
      </c>
      <c r="C56" s="41">
        <v>12000000</v>
      </c>
      <c r="D56" s="41">
        <v>452897</v>
      </c>
      <c r="E56" s="41">
        <v>452897</v>
      </c>
      <c r="F56" s="42">
        <v>687945</v>
      </c>
      <c r="G56" s="42">
        <v>687945</v>
      </c>
      <c r="H56" s="42">
        <v>0</v>
      </c>
      <c r="I56" s="42">
        <v>0</v>
      </c>
      <c r="J56" s="42"/>
      <c r="K56" s="42">
        <v>0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>
        <f>D56+F56+H56+J56+L56+N56+P56+R56+T56</f>
        <v>1140842</v>
      </c>
      <c r="W56" s="42">
        <f t="shared" si="7"/>
        <v>1140842</v>
      </c>
    </row>
    <row r="57" spans="1:23">
      <c r="A57" s="28">
        <v>2.5</v>
      </c>
      <c r="B57" s="29" t="s">
        <v>9</v>
      </c>
      <c r="C57" s="41">
        <v>1000000</v>
      </c>
      <c r="D57" s="41">
        <v>0</v>
      </c>
      <c r="E57" s="41">
        <v>0</v>
      </c>
      <c r="F57" s="42">
        <v>0</v>
      </c>
      <c r="G57" s="42"/>
      <c r="H57" s="42"/>
      <c r="I57" s="42">
        <v>0</v>
      </c>
      <c r="J57" s="42"/>
      <c r="K57" s="42">
        <v>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f t="shared" ref="V57" si="8">D57+F57+H57+J57+L57+N57+P57+R57+T57</f>
        <v>0</v>
      </c>
      <c r="W57" s="41">
        <f>+E57+G57+I57+K57+M57</f>
        <v>0</v>
      </c>
    </row>
    <row r="58" spans="1:23">
      <c r="A58" s="35"/>
      <c r="B58" s="36" t="s">
        <v>179</v>
      </c>
      <c r="C58" s="43">
        <f>C49+C50+C51+C56+C57</f>
        <v>3023000000</v>
      </c>
      <c r="D58" s="43">
        <f>D49+D50+D51+D56+D57</f>
        <v>191007345</v>
      </c>
      <c r="E58" s="43">
        <f t="shared" ref="E58:U58" si="9">E49+E50+E51+E56+E57</f>
        <v>191007345</v>
      </c>
      <c r="F58" s="43">
        <f t="shared" si="9"/>
        <v>221497430</v>
      </c>
      <c r="G58" s="43">
        <f>G49+G50+G51+G56+G57</f>
        <v>221497430</v>
      </c>
      <c r="H58" s="43">
        <f t="shared" si="9"/>
        <v>398505277</v>
      </c>
      <c r="I58" s="43">
        <f t="shared" si="9"/>
        <v>398505277</v>
      </c>
      <c r="J58" s="43">
        <f t="shared" si="9"/>
        <v>341003083</v>
      </c>
      <c r="K58" s="43">
        <f t="shared" si="9"/>
        <v>341003083</v>
      </c>
      <c r="L58" s="43">
        <f t="shared" si="9"/>
        <v>308662673</v>
      </c>
      <c r="M58" s="43">
        <f t="shared" si="9"/>
        <v>308662673</v>
      </c>
      <c r="N58" s="43">
        <f t="shared" si="9"/>
        <v>181263017</v>
      </c>
      <c r="O58" s="43">
        <f t="shared" si="9"/>
        <v>187280565</v>
      </c>
      <c r="P58" s="43">
        <f t="shared" si="9"/>
        <v>193090622</v>
      </c>
      <c r="Q58" s="43">
        <f t="shared" si="9"/>
        <v>192971194</v>
      </c>
      <c r="R58" s="43">
        <f t="shared" si="9"/>
        <v>223367753</v>
      </c>
      <c r="S58" s="43">
        <f t="shared" si="9"/>
        <v>239017785</v>
      </c>
      <c r="T58" s="43">
        <f t="shared" si="9"/>
        <v>287496805</v>
      </c>
      <c r="U58" s="43">
        <f t="shared" si="9"/>
        <v>269986626</v>
      </c>
      <c r="V58" s="43">
        <f>V49+V50+V51+V56+V57</f>
        <v>2345894005</v>
      </c>
      <c r="W58" s="43">
        <f>W49+W50+W51+W56+W57</f>
        <v>2349931978</v>
      </c>
    </row>
    <row r="59" spans="1:23">
      <c r="A59" s="70" t="s">
        <v>183</v>
      </c>
      <c r="B59" s="70"/>
      <c r="C59" s="44">
        <f>+C47+C58</f>
        <v>12253000000</v>
      </c>
      <c r="D59" s="44">
        <f t="shared" ref="D59:U59" si="10">+D47+D58</f>
        <v>476245874</v>
      </c>
      <c r="E59" s="44">
        <f t="shared" si="10"/>
        <v>476245874</v>
      </c>
      <c r="F59" s="44">
        <f t="shared" si="10"/>
        <v>598586863</v>
      </c>
      <c r="G59" s="44">
        <f t="shared" si="10"/>
        <v>598586863</v>
      </c>
      <c r="H59" s="44">
        <f t="shared" si="10"/>
        <v>953427178</v>
      </c>
      <c r="I59" s="44">
        <f t="shared" si="10"/>
        <v>953427178</v>
      </c>
      <c r="J59" s="44">
        <f t="shared" si="10"/>
        <v>787970386</v>
      </c>
      <c r="K59" s="44">
        <f t="shared" si="10"/>
        <v>787970386</v>
      </c>
      <c r="L59" s="44">
        <f t="shared" si="10"/>
        <v>771503184</v>
      </c>
      <c r="M59" s="44">
        <f t="shared" si="10"/>
        <v>771503184</v>
      </c>
      <c r="N59" s="44">
        <f t="shared" si="10"/>
        <v>604382429</v>
      </c>
      <c r="O59" s="44">
        <f t="shared" si="10"/>
        <v>606448844</v>
      </c>
      <c r="P59" s="44">
        <f t="shared" si="10"/>
        <v>485977313</v>
      </c>
      <c r="Q59" s="44">
        <f t="shared" si="10"/>
        <v>473544999</v>
      </c>
      <c r="R59" s="44">
        <f t="shared" si="10"/>
        <v>716420430</v>
      </c>
      <c r="S59" s="44">
        <f t="shared" si="10"/>
        <v>738203078</v>
      </c>
      <c r="T59" s="44">
        <f t="shared" si="10"/>
        <v>580643446</v>
      </c>
      <c r="U59" s="44">
        <f t="shared" si="10"/>
        <v>533083876</v>
      </c>
      <c r="V59" s="44">
        <f>+V47+V58</f>
        <v>5975157103</v>
      </c>
      <c r="W59" s="44">
        <f>+W47+W58</f>
        <v>5939014282</v>
      </c>
    </row>
  </sheetData>
  <mergeCells count="24">
    <mergeCell ref="Q1:Q2"/>
    <mergeCell ref="R1:R2"/>
    <mergeCell ref="G1:G2"/>
    <mergeCell ref="H1:H2"/>
    <mergeCell ref="I1:I2"/>
    <mergeCell ref="J1:J2"/>
    <mergeCell ref="K1:K2"/>
    <mergeCell ref="L1:L2"/>
    <mergeCell ref="A59:B59"/>
    <mergeCell ref="M1:M2"/>
    <mergeCell ref="N1:N2"/>
    <mergeCell ref="O1:O2"/>
    <mergeCell ref="P1:P2"/>
    <mergeCell ref="A1:A2"/>
    <mergeCell ref="B1:B2"/>
    <mergeCell ref="C1:C2"/>
    <mergeCell ref="D1:D2"/>
    <mergeCell ref="E1:E2"/>
    <mergeCell ref="F1:F2"/>
    <mergeCell ref="S1:S2"/>
    <mergeCell ref="T1:T2"/>
    <mergeCell ref="U1:U2"/>
    <mergeCell ref="V1:V2"/>
    <mergeCell ref="W1:W2"/>
  </mergeCells>
  <pageMargins left="0.86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 PPTO 2017</vt:lpstr>
      <vt:lpstr>PROY LIQ PPTO GASTO 2017</vt:lpstr>
      <vt:lpstr>PROY LIQ PPTO ING 2017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FINANCIERA1</cp:lastModifiedBy>
  <cp:lastPrinted>2017-10-17T14:52:10Z</cp:lastPrinted>
  <dcterms:created xsi:type="dcterms:W3CDTF">2016-08-23T12:59:04Z</dcterms:created>
  <dcterms:modified xsi:type="dcterms:W3CDTF">2017-10-30T16:57:49Z</dcterms:modified>
</cp:coreProperties>
</file>